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Sheet1!$A$4:$D$310</definedName>
    <definedName name="_xlnm.Print_Area" localSheetId="0">Sheet1!$A$1:$V$316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/>
  <c r="I7" s="1"/>
  <c r="J5"/>
  <c r="M5"/>
  <c r="N5"/>
  <c r="I6"/>
  <c r="J6"/>
  <c r="E7"/>
  <c r="F7"/>
  <c r="G7"/>
  <c r="H7"/>
  <c r="J7"/>
  <c r="K7"/>
  <c r="L7"/>
  <c r="M7"/>
  <c r="N7"/>
  <c r="I8"/>
  <c r="J8"/>
  <c r="J10" s="1"/>
  <c r="M8"/>
  <c r="I9"/>
  <c r="I10" s="1"/>
  <c r="J9"/>
  <c r="E10"/>
  <c r="F10"/>
  <c r="G10"/>
  <c r="H10"/>
  <c r="K10"/>
  <c r="L10"/>
  <c r="M10"/>
  <c r="N10"/>
  <c r="I11"/>
  <c r="I13" s="1"/>
  <c r="J11"/>
  <c r="J13" s="1"/>
  <c r="M11"/>
  <c r="N11"/>
  <c r="I12"/>
  <c r="J12"/>
  <c r="E13"/>
  <c r="F13"/>
  <c r="G13"/>
  <c r="H13"/>
  <c r="K13"/>
  <c r="L13"/>
  <c r="M13"/>
  <c r="N13"/>
  <c r="I14"/>
  <c r="I16" s="1"/>
  <c r="J14"/>
  <c r="J16" s="1"/>
  <c r="N14"/>
  <c r="N16" s="1"/>
  <c r="I15"/>
  <c r="J15"/>
  <c r="M15"/>
  <c r="E16"/>
  <c r="F16"/>
  <c r="G16"/>
  <c r="H16"/>
  <c r="K16"/>
  <c r="L16"/>
  <c r="M16"/>
  <c r="I17"/>
  <c r="I24" s="1"/>
  <c r="I26" s="1"/>
  <c r="J17"/>
  <c r="N17"/>
  <c r="I18"/>
  <c r="J18"/>
  <c r="I19"/>
  <c r="J19"/>
  <c r="I20"/>
  <c r="J20"/>
  <c r="I21"/>
  <c r="J21"/>
  <c r="I22"/>
  <c r="J22"/>
  <c r="I23"/>
  <c r="J23"/>
  <c r="E24"/>
  <c r="F24"/>
  <c r="G24"/>
  <c r="H24"/>
  <c r="J24"/>
  <c r="K24"/>
  <c r="L24"/>
  <c r="M24"/>
  <c r="N24"/>
  <c r="I25"/>
  <c r="J25"/>
  <c r="E26"/>
  <c r="F26"/>
  <c r="G26"/>
  <c r="H26"/>
  <c r="J26"/>
  <c r="K26"/>
  <c r="L26"/>
  <c r="M26"/>
  <c r="N26"/>
  <c r="I27"/>
  <c r="J27"/>
  <c r="I28"/>
  <c r="J28"/>
  <c r="J29" s="1"/>
  <c r="E29"/>
  <c r="F29"/>
  <c r="G29"/>
  <c r="H29"/>
  <c r="I29"/>
  <c r="K29"/>
  <c r="L29"/>
  <c r="M29"/>
  <c r="N29"/>
  <c r="I30"/>
  <c r="J30"/>
  <c r="N30"/>
  <c r="I31"/>
  <c r="I33" s="1"/>
  <c r="J31"/>
  <c r="I32"/>
  <c r="J32"/>
  <c r="M32"/>
  <c r="M33" s="1"/>
  <c r="E33"/>
  <c r="F33"/>
  <c r="G33"/>
  <c r="H33"/>
  <c r="J33"/>
  <c r="K33"/>
  <c r="L33"/>
  <c r="N33"/>
  <c r="I34"/>
  <c r="J34"/>
  <c r="M34"/>
  <c r="N34"/>
  <c r="I35"/>
  <c r="J35"/>
  <c r="E36"/>
  <c r="F36"/>
  <c r="G36"/>
  <c r="H36"/>
  <c r="I36"/>
  <c r="J36"/>
  <c r="K36"/>
  <c r="L36"/>
  <c r="M36"/>
  <c r="N36"/>
  <c r="I37"/>
  <c r="J37"/>
  <c r="I38"/>
  <c r="J38"/>
  <c r="J39" s="1"/>
  <c r="E39"/>
  <c r="F39"/>
  <c r="G39"/>
  <c r="H39"/>
  <c r="I39"/>
  <c r="K39"/>
  <c r="L39"/>
  <c r="M39"/>
  <c r="N39"/>
  <c r="I40"/>
  <c r="J40"/>
  <c r="J43" s="1"/>
  <c r="I41"/>
  <c r="J41"/>
  <c r="M41"/>
  <c r="I42"/>
  <c r="I43" s="1"/>
  <c r="J42"/>
  <c r="E43"/>
  <c r="F43"/>
  <c r="G43"/>
  <c r="H43"/>
  <c r="K43"/>
  <c r="L43"/>
  <c r="M43"/>
  <c r="N43"/>
  <c r="I44"/>
  <c r="J44"/>
  <c r="N44"/>
  <c r="I45"/>
  <c r="J45"/>
  <c r="N45"/>
  <c r="I46"/>
  <c r="J46"/>
  <c r="M46"/>
  <c r="M49" s="1"/>
  <c r="N46"/>
  <c r="I47"/>
  <c r="J47"/>
  <c r="I48"/>
  <c r="I49" s="1"/>
  <c r="J48"/>
  <c r="E49"/>
  <c r="F49"/>
  <c r="G49"/>
  <c r="H49"/>
  <c r="J49"/>
  <c r="K49"/>
  <c r="L49"/>
  <c r="N49"/>
  <c r="O49"/>
  <c r="P49"/>
  <c r="I50"/>
  <c r="J50"/>
  <c r="N50"/>
  <c r="N52" s="1"/>
  <c r="N89" s="1"/>
  <c r="I51"/>
  <c r="J51"/>
  <c r="M51"/>
  <c r="E52"/>
  <c r="F52"/>
  <c r="G52"/>
  <c r="H52"/>
  <c r="I52"/>
  <c r="J52"/>
  <c r="K52"/>
  <c r="L52"/>
  <c r="M52"/>
  <c r="I53"/>
  <c r="J53"/>
  <c r="I54"/>
  <c r="J54"/>
  <c r="I55"/>
  <c r="J55"/>
  <c r="E56"/>
  <c r="F56"/>
  <c r="G56"/>
  <c r="H56"/>
  <c r="I56"/>
  <c r="J56"/>
  <c r="K56"/>
  <c r="L56"/>
  <c r="M56"/>
  <c r="N56"/>
  <c r="I57"/>
  <c r="J57"/>
  <c r="I58"/>
  <c r="I59" s="1"/>
  <c r="J58"/>
  <c r="E59"/>
  <c r="F59"/>
  <c r="G59"/>
  <c r="H59"/>
  <c r="J59"/>
  <c r="K59"/>
  <c r="L59"/>
  <c r="M59"/>
  <c r="N59"/>
  <c r="I60"/>
  <c r="I62" s="1"/>
  <c r="J60"/>
  <c r="M60"/>
  <c r="N60"/>
  <c r="I61"/>
  <c r="J61"/>
  <c r="M61"/>
  <c r="E62"/>
  <c r="F62"/>
  <c r="G62"/>
  <c r="H62"/>
  <c r="J62"/>
  <c r="K62"/>
  <c r="L62"/>
  <c r="M62"/>
  <c r="N62"/>
  <c r="I63"/>
  <c r="J63"/>
  <c r="N63"/>
  <c r="I64"/>
  <c r="I65" s="1"/>
  <c r="I89" s="1"/>
  <c r="J64"/>
  <c r="M64"/>
  <c r="E65"/>
  <c r="F65"/>
  <c r="G65"/>
  <c r="H65"/>
  <c r="J65"/>
  <c r="K65"/>
  <c r="L65"/>
  <c r="M65"/>
  <c r="N65"/>
  <c r="I66"/>
  <c r="J66"/>
  <c r="I67"/>
  <c r="J67"/>
  <c r="J68" s="1"/>
  <c r="E68"/>
  <c r="F68"/>
  <c r="G68"/>
  <c r="H68"/>
  <c r="I68"/>
  <c r="K68"/>
  <c r="L68"/>
  <c r="M68"/>
  <c r="N68"/>
  <c r="I69"/>
  <c r="J69"/>
  <c r="M69"/>
  <c r="I70"/>
  <c r="J70"/>
  <c r="E71"/>
  <c r="F71"/>
  <c r="G71"/>
  <c r="H71"/>
  <c r="I71"/>
  <c r="J71"/>
  <c r="K71"/>
  <c r="L71"/>
  <c r="M71"/>
  <c r="N71"/>
  <c r="I72"/>
  <c r="J72"/>
  <c r="N72"/>
  <c r="I73"/>
  <c r="J73"/>
  <c r="I74"/>
  <c r="J74"/>
  <c r="E75"/>
  <c r="F75"/>
  <c r="G75"/>
  <c r="H75"/>
  <c r="I75"/>
  <c r="J75"/>
  <c r="K75"/>
  <c r="L75"/>
  <c r="M75"/>
  <c r="N75"/>
  <c r="I76"/>
  <c r="J76"/>
  <c r="N76"/>
  <c r="I77"/>
  <c r="J77"/>
  <c r="I78"/>
  <c r="J78"/>
  <c r="J79" s="1"/>
  <c r="E79"/>
  <c r="F79"/>
  <c r="G79"/>
  <c r="H79"/>
  <c r="I79"/>
  <c r="K79"/>
  <c r="L79"/>
  <c r="M79"/>
  <c r="N79"/>
  <c r="I80"/>
  <c r="J80"/>
  <c r="N80"/>
  <c r="I81"/>
  <c r="J81"/>
  <c r="E82"/>
  <c r="F82"/>
  <c r="G82"/>
  <c r="H82"/>
  <c r="I82"/>
  <c r="J82"/>
  <c r="K82"/>
  <c r="L82"/>
  <c r="M82"/>
  <c r="N82"/>
  <c r="I83"/>
  <c r="J83"/>
  <c r="M83"/>
  <c r="I84"/>
  <c r="J84"/>
  <c r="M84"/>
  <c r="E85"/>
  <c r="F85"/>
  <c r="G85"/>
  <c r="H85"/>
  <c r="I85"/>
  <c r="J85"/>
  <c r="K85"/>
  <c r="L85"/>
  <c r="M85"/>
  <c r="N85"/>
  <c r="I86"/>
  <c r="J86"/>
  <c r="I87"/>
  <c r="J87"/>
  <c r="I88"/>
  <c r="J88"/>
  <c r="E89"/>
  <c r="F89"/>
  <c r="G89"/>
  <c r="H89"/>
  <c r="K89"/>
  <c r="L89"/>
  <c r="O89"/>
  <c r="P89"/>
  <c r="I90"/>
  <c r="J90"/>
  <c r="M90"/>
  <c r="N90"/>
  <c r="I91"/>
  <c r="J91"/>
  <c r="I92"/>
  <c r="I93" s="1"/>
  <c r="J92"/>
  <c r="J93" s="1"/>
  <c r="E93"/>
  <c r="F93"/>
  <c r="G93"/>
  <c r="H93"/>
  <c r="K93"/>
  <c r="L93"/>
  <c r="M93"/>
  <c r="N93"/>
  <c r="O93"/>
  <c r="P93"/>
  <c r="I94"/>
  <c r="J94"/>
  <c r="I95"/>
  <c r="J95"/>
  <c r="I96"/>
  <c r="J96"/>
  <c r="N96"/>
  <c r="I97"/>
  <c r="J97"/>
  <c r="M97"/>
  <c r="E98"/>
  <c r="F98"/>
  <c r="G98"/>
  <c r="H98"/>
  <c r="I98"/>
  <c r="J98"/>
  <c r="K98"/>
  <c r="L98"/>
  <c r="M98"/>
  <c r="N98"/>
  <c r="O98"/>
  <c r="P98"/>
  <c r="I99"/>
  <c r="J99"/>
  <c r="J101" s="1"/>
  <c r="N99"/>
  <c r="I100"/>
  <c r="J100"/>
  <c r="E101"/>
  <c r="F101"/>
  <c r="G101"/>
  <c r="H101"/>
  <c r="I101"/>
  <c r="K101"/>
  <c r="L101"/>
  <c r="M101"/>
  <c r="N101"/>
  <c r="O101"/>
  <c r="P101"/>
  <c r="I102"/>
  <c r="J102"/>
  <c r="N102"/>
  <c r="I103"/>
  <c r="J103"/>
  <c r="J104" s="1"/>
  <c r="E104"/>
  <c r="F104"/>
  <c r="G104"/>
  <c r="H104"/>
  <c r="I104"/>
  <c r="K104"/>
  <c r="L104"/>
  <c r="M104"/>
  <c r="N104"/>
  <c r="O104"/>
  <c r="P104"/>
  <c r="I105"/>
  <c r="J105"/>
  <c r="N105"/>
  <c r="I106"/>
  <c r="J106"/>
  <c r="E107"/>
  <c r="F107"/>
  <c r="G107"/>
  <c r="H107"/>
  <c r="I107"/>
  <c r="J107"/>
  <c r="K107"/>
  <c r="L107"/>
  <c r="M107"/>
  <c r="N107"/>
  <c r="O107"/>
  <c r="P107"/>
  <c r="I108"/>
  <c r="J108"/>
  <c r="N108"/>
  <c r="I109"/>
  <c r="J109"/>
  <c r="M109"/>
  <c r="E110"/>
  <c r="F110"/>
  <c r="G110"/>
  <c r="H110"/>
  <c r="I110"/>
  <c r="J110"/>
  <c r="K110"/>
  <c r="L110"/>
  <c r="M110"/>
  <c r="N110"/>
  <c r="O110"/>
  <c r="P110"/>
  <c r="I111"/>
  <c r="J111"/>
  <c r="I112"/>
  <c r="J112"/>
  <c r="M112"/>
  <c r="E113"/>
  <c r="F113"/>
  <c r="G113"/>
  <c r="H113"/>
  <c r="I113"/>
  <c r="J113"/>
  <c r="K113"/>
  <c r="L113"/>
  <c r="M113"/>
  <c r="N113"/>
  <c r="O113"/>
  <c r="P113"/>
  <c r="I114"/>
  <c r="J114"/>
  <c r="I115"/>
  <c r="J115"/>
  <c r="N115"/>
  <c r="I116"/>
  <c r="J116"/>
  <c r="M116"/>
  <c r="E117"/>
  <c r="F117"/>
  <c r="G117"/>
  <c r="H117"/>
  <c r="I117"/>
  <c r="J117"/>
  <c r="K117"/>
  <c r="L117"/>
  <c r="M117"/>
  <c r="N117"/>
  <c r="O117"/>
  <c r="P117"/>
  <c r="I118"/>
  <c r="J118"/>
  <c r="M118"/>
  <c r="N118"/>
  <c r="I119"/>
  <c r="J119"/>
  <c r="I120"/>
  <c r="J120"/>
  <c r="I121"/>
  <c r="I122" s="1"/>
  <c r="J121"/>
  <c r="J122" s="1"/>
  <c r="E122"/>
  <c r="F122"/>
  <c r="G122"/>
  <c r="H122"/>
  <c r="K122"/>
  <c r="L122"/>
  <c r="M122"/>
  <c r="N122"/>
  <c r="O122"/>
  <c r="P122"/>
  <c r="I123"/>
  <c r="J123"/>
  <c r="I124"/>
  <c r="I125" s="1"/>
  <c r="I135" s="1"/>
  <c r="J124"/>
  <c r="J125" s="1"/>
  <c r="E125"/>
  <c r="F125"/>
  <c r="G125"/>
  <c r="H125"/>
  <c r="K125"/>
  <c r="L125"/>
  <c r="M125"/>
  <c r="N125"/>
  <c r="O125"/>
  <c r="P125"/>
  <c r="I126"/>
  <c r="J126"/>
  <c r="I127"/>
  <c r="J127"/>
  <c r="M127"/>
  <c r="N127"/>
  <c r="I128"/>
  <c r="J128"/>
  <c r="I129"/>
  <c r="J129"/>
  <c r="I130"/>
  <c r="J130"/>
  <c r="I131"/>
  <c r="J131"/>
  <c r="I132"/>
  <c r="J132"/>
  <c r="J134" s="1"/>
  <c r="J135" s="1"/>
  <c r="I133"/>
  <c r="J133"/>
  <c r="M133"/>
  <c r="E134"/>
  <c r="F134"/>
  <c r="G134"/>
  <c r="H134"/>
  <c r="I134"/>
  <c r="K134"/>
  <c r="L134"/>
  <c r="M134"/>
  <c r="N134"/>
  <c r="O134"/>
  <c r="P134"/>
  <c r="E135"/>
  <c r="F135"/>
  <c r="G135"/>
  <c r="H135"/>
  <c r="K135"/>
  <c r="L135"/>
  <c r="M135"/>
  <c r="N135"/>
  <c r="O135"/>
  <c r="P135"/>
  <c r="I136"/>
  <c r="J136"/>
  <c r="I137"/>
  <c r="J137"/>
  <c r="I138"/>
  <c r="J138"/>
  <c r="E139"/>
  <c r="F139"/>
  <c r="G139"/>
  <c r="H139"/>
  <c r="I139"/>
  <c r="J139"/>
  <c r="K139"/>
  <c r="L139"/>
  <c r="M139"/>
  <c r="N139"/>
  <c r="O139"/>
  <c r="P139"/>
  <c r="I140"/>
  <c r="J140"/>
  <c r="I141"/>
  <c r="J141"/>
  <c r="E142"/>
  <c r="F142"/>
  <c r="G142"/>
  <c r="H142"/>
  <c r="I142"/>
  <c r="J142"/>
  <c r="K142"/>
  <c r="L142"/>
  <c r="M142"/>
  <c r="N142"/>
  <c r="O142"/>
  <c r="P142"/>
  <c r="I143"/>
  <c r="I146" s="1"/>
  <c r="J143"/>
  <c r="M143"/>
  <c r="I144"/>
  <c r="J144"/>
  <c r="I145"/>
  <c r="J145"/>
  <c r="E146"/>
  <c r="F146"/>
  <c r="G146"/>
  <c r="H146"/>
  <c r="J146"/>
  <c r="K146"/>
  <c r="L146"/>
  <c r="M146"/>
  <c r="N146"/>
  <c r="O146"/>
  <c r="P146"/>
  <c r="I147"/>
  <c r="J147"/>
  <c r="N147"/>
  <c r="I148"/>
  <c r="J148"/>
  <c r="I149"/>
  <c r="J149"/>
  <c r="I150"/>
  <c r="J150"/>
  <c r="I151"/>
  <c r="J151"/>
  <c r="I152"/>
  <c r="J152"/>
  <c r="I153"/>
  <c r="J153"/>
  <c r="I154"/>
  <c r="J154"/>
  <c r="I155"/>
  <c r="J155"/>
  <c r="J156" s="1"/>
  <c r="E156"/>
  <c r="F156"/>
  <c r="G156"/>
  <c r="H156"/>
  <c r="I156"/>
  <c r="K156"/>
  <c r="L156"/>
  <c r="M156"/>
  <c r="N156"/>
  <c r="O156"/>
  <c r="P156"/>
  <c r="I157"/>
  <c r="J157"/>
  <c r="I158"/>
  <c r="J158"/>
  <c r="N158"/>
  <c r="I159"/>
  <c r="J159"/>
  <c r="E160"/>
  <c r="F160"/>
  <c r="G160"/>
  <c r="H160"/>
  <c r="I160"/>
  <c r="J160"/>
  <c r="K160"/>
  <c r="L160"/>
  <c r="M160"/>
  <c r="N160"/>
  <c r="O160"/>
  <c r="P160"/>
  <c r="I161"/>
  <c r="J161"/>
  <c r="N161"/>
  <c r="I162"/>
  <c r="J162"/>
  <c r="I163"/>
  <c r="I164" s="1"/>
  <c r="J163"/>
  <c r="E164"/>
  <c r="F164"/>
  <c r="G164"/>
  <c r="H164"/>
  <c r="J164"/>
  <c r="K164"/>
  <c r="L164"/>
  <c r="M164"/>
  <c r="N164"/>
  <c r="O164"/>
  <c r="P164"/>
  <c r="I165"/>
  <c r="J165"/>
  <c r="N165"/>
  <c r="I166"/>
  <c r="J166"/>
  <c r="I167"/>
  <c r="I168" s="1"/>
  <c r="J167"/>
  <c r="J168" s="1"/>
  <c r="E168"/>
  <c r="F168"/>
  <c r="G168"/>
  <c r="H168"/>
  <c r="K168"/>
  <c r="L168"/>
  <c r="M168"/>
  <c r="N168"/>
  <c r="O168"/>
  <c r="P168"/>
  <c r="I169"/>
  <c r="J169"/>
  <c r="I170"/>
  <c r="J170"/>
  <c r="N170"/>
  <c r="I171"/>
  <c r="J171"/>
  <c r="J174" s="1"/>
  <c r="I172"/>
  <c r="J172"/>
  <c r="I173"/>
  <c r="J173"/>
  <c r="E174"/>
  <c r="F174"/>
  <c r="G174"/>
  <c r="H174"/>
  <c r="I174"/>
  <c r="K174"/>
  <c r="L174"/>
  <c r="M174"/>
  <c r="N174"/>
  <c r="O174"/>
  <c r="P174"/>
  <c r="I175"/>
  <c r="J175"/>
  <c r="I176"/>
  <c r="J176"/>
  <c r="I177"/>
  <c r="I179" s="1"/>
  <c r="J177"/>
  <c r="N177"/>
  <c r="I178"/>
  <c r="J178"/>
  <c r="J179" s="1"/>
  <c r="E179"/>
  <c r="F179"/>
  <c r="G179"/>
  <c r="H179"/>
  <c r="K179"/>
  <c r="L179"/>
  <c r="M179"/>
  <c r="N179"/>
  <c r="O179"/>
  <c r="P179"/>
  <c r="I180"/>
  <c r="J180"/>
  <c r="M180"/>
  <c r="I181"/>
  <c r="J181"/>
  <c r="I182"/>
  <c r="J182"/>
  <c r="I183"/>
  <c r="I184" s="1"/>
  <c r="I185" s="1"/>
  <c r="J183"/>
  <c r="E184"/>
  <c r="F184"/>
  <c r="G184"/>
  <c r="H184"/>
  <c r="J184"/>
  <c r="K184"/>
  <c r="L184"/>
  <c r="M184"/>
  <c r="N184"/>
  <c r="O184"/>
  <c r="P184"/>
  <c r="E185"/>
  <c r="F185"/>
  <c r="G185"/>
  <c r="H185"/>
  <c r="K185"/>
  <c r="L185"/>
  <c r="M185"/>
  <c r="N185"/>
  <c r="O185"/>
  <c r="P185"/>
  <c r="I186"/>
  <c r="J186"/>
  <c r="N186"/>
  <c r="E187"/>
  <c r="F187"/>
  <c r="G187"/>
  <c r="H187"/>
  <c r="I187"/>
  <c r="J187"/>
  <c r="K187"/>
  <c r="L187"/>
  <c r="M187"/>
  <c r="N187"/>
  <c r="O187"/>
  <c r="P187"/>
  <c r="I188"/>
  <c r="J188"/>
  <c r="N188"/>
  <c r="I189"/>
  <c r="J189"/>
  <c r="I190"/>
  <c r="J190"/>
  <c r="E191"/>
  <c r="F191"/>
  <c r="G191"/>
  <c r="H191"/>
  <c r="I191"/>
  <c r="J191"/>
  <c r="K191"/>
  <c r="L191"/>
  <c r="M191"/>
  <c r="N191"/>
  <c r="O191"/>
  <c r="P191"/>
  <c r="I192"/>
  <c r="J192"/>
  <c r="I193"/>
  <c r="J193"/>
  <c r="I194"/>
  <c r="I195" s="1"/>
  <c r="J194"/>
  <c r="E195"/>
  <c r="F195"/>
  <c r="G195"/>
  <c r="H195"/>
  <c r="J195"/>
  <c r="K195"/>
  <c r="L195"/>
  <c r="M195"/>
  <c r="N195"/>
  <c r="O195"/>
  <c r="P195"/>
  <c r="I196"/>
  <c r="J196"/>
  <c r="M196"/>
  <c r="N196"/>
  <c r="I197"/>
  <c r="J197"/>
  <c r="N197"/>
  <c r="I198"/>
  <c r="J198"/>
  <c r="N198"/>
  <c r="I199"/>
  <c r="J199"/>
  <c r="I200"/>
  <c r="J200"/>
  <c r="I201"/>
  <c r="J201"/>
  <c r="I202"/>
  <c r="J202"/>
  <c r="I203"/>
  <c r="J203"/>
  <c r="I204"/>
  <c r="J204"/>
  <c r="E205"/>
  <c r="F205"/>
  <c r="G205"/>
  <c r="H205"/>
  <c r="I205"/>
  <c r="J205"/>
  <c r="K205"/>
  <c r="L205"/>
  <c r="M205"/>
  <c r="N205"/>
  <c r="O205"/>
  <c r="P205"/>
  <c r="I206"/>
  <c r="J206"/>
  <c r="N206"/>
  <c r="I207"/>
  <c r="J207"/>
  <c r="I208"/>
  <c r="J208"/>
  <c r="E209"/>
  <c r="F209"/>
  <c r="G209"/>
  <c r="H209"/>
  <c r="I209"/>
  <c r="J209"/>
  <c r="K209"/>
  <c r="L209"/>
  <c r="M209"/>
  <c r="N209"/>
  <c r="O209"/>
  <c r="P209"/>
  <c r="I210"/>
  <c r="J210"/>
  <c r="M210"/>
  <c r="N210"/>
  <c r="I211"/>
  <c r="J211"/>
  <c r="I212"/>
  <c r="J212"/>
  <c r="E213"/>
  <c r="F213"/>
  <c r="G213"/>
  <c r="H213"/>
  <c r="I213"/>
  <c r="J213"/>
  <c r="K213"/>
  <c r="L213"/>
  <c r="M213"/>
  <c r="N213"/>
  <c r="O213"/>
  <c r="P213"/>
  <c r="I214"/>
  <c r="J214"/>
  <c r="I215"/>
  <c r="J215"/>
  <c r="I216"/>
  <c r="I217" s="1"/>
  <c r="I223" s="1"/>
  <c r="J216"/>
  <c r="J217" s="1"/>
  <c r="E217"/>
  <c r="F217"/>
  <c r="G217"/>
  <c r="H217"/>
  <c r="K217"/>
  <c r="L217"/>
  <c r="M217"/>
  <c r="N217"/>
  <c r="O217"/>
  <c r="P217"/>
  <c r="I218"/>
  <c r="J218"/>
  <c r="I219"/>
  <c r="J219"/>
  <c r="J221" s="1"/>
  <c r="M219"/>
  <c r="I220"/>
  <c r="J220"/>
  <c r="E221"/>
  <c r="F221"/>
  <c r="G221"/>
  <c r="H221"/>
  <c r="I221"/>
  <c r="K221"/>
  <c r="L221"/>
  <c r="M221"/>
  <c r="N221"/>
  <c r="O221"/>
  <c r="P221"/>
  <c r="I222"/>
  <c r="J222"/>
  <c r="E223"/>
  <c r="F223"/>
  <c r="G223"/>
  <c r="H223"/>
  <c r="K223"/>
  <c r="L223"/>
  <c r="M223"/>
  <c r="N223"/>
  <c r="O223"/>
  <c r="P223"/>
  <c r="I224"/>
  <c r="J224"/>
  <c r="E225"/>
  <c r="F225"/>
  <c r="G225"/>
  <c r="H225"/>
  <c r="I225"/>
  <c r="J225"/>
  <c r="K225"/>
  <c r="L225"/>
  <c r="M225"/>
  <c r="N225"/>
  <c r="O225"/>
  <c r="P225"/>
  <c r="I226"/>
  <c r="J226"/>
  <c r="I227"/>
  <c r="J227"/>
  <c r="E228"/>
  <c r="F228"/>
  <c r="G228"/>
  <c r="H228"/>
  <c r="I228"/>
  <c r="J228"/>
  <c r="K228"/>
  <c r="L228"/>
  <c r="M228"/>
  <c r="N228"/>
  <c r="O228"/>
  <c r="P228"/>
  <c r="I229"/>
  <c r="J229"/>
  <c r="N229"/>
  <c r="I230"/>
  <c r="J230"/>
  <c r="N230"/>
  <c r="I231"/>
  <c r="J231"/>
  <c r="M231"/>
  <c r="N231"/>
  <c r="I232"/>
  <c r="J232"/>
  <c r="N232"/>
  <c r="I233"/>
  <c r="J233"/>
  <c r="N233"/>
  <c r="I234"/>
  <c r="I235" s="1"/>
  <c r="J234"/>
  <c r="J235" s="1"/>
  <c r="J240" s="1"/>
  <c r="E235"/>
  <c r="F235"/>
  <c r="G235"/>
  <c r="H235"/>
  <c r="K235"/>
  <c r="L235"/>
  <c r="M235"/>
  <c r="N235"/>
  <c r="O235"/>
  <c r="P235"/>
  <c r="I236"/>
  <c r="J236"/>
  <c r="N236"/>
  <c r="I237"/>
  <c r="I238" s="1"/>
  <c r="J237"/>
  <c r="E238"/>
  <c r="F238"/>
  <c r="G238"/>
  <c r="H238"/>
  <c r="J238"/>
  <c r="K238"/>
  <c r="L238"/>
  <c r="M238"/>
  <c r="N238"/>
  <c r="O238"/>
  <c r="P238"/>
  <c r="I239"/>
  <c r="J239"/>
  <c r="E240"/>
  <c r="F240"/>
  <c r="G240"/>
  <c r="H240"/>
  <c r="K240"/>
  <c r="L240"/>
  <c r="M240"/>
  <c r="N240"/>
  <c r="O240"/>
  <c r="P240"/>
  <c r="I241"/>
  <c r="J241"/>
  <c r="N241"/>
  <c r="I242"/>
  <c r="J242"/>
  <c r="M242"/>
  <c r="I243"/>
  <c r="J243"/>
  <c r="I244"/>
  <c r="J244"/>
  <c r="M244"/>
  <c r="I245"/>
  <c r="J245"/>
  <c r="I246"/>
  <c r="J246"/>
  <c r="I247"/>
  <c r="J247"/>
  <c r="E248"/>
  <c r="F248"/>
  <c r="G248"/>
  <c r="H248"/>
  <c r="I248"/>
  <c r="J248"/>
  <c r="K248"/>
  <c r="L248"/>
  <c r="M248"/>
  <c r="N248"/>
  <c r="O248"/>
  <c r="P248"/>
  <c r="I249"/>
  <c r="J249"/>
  <c r="I250"/>
  <c r="J250"/>
  <c r="M250"/>
  <c r="I251"/>
  <c r="J251"/>
  <c r="J253" s="1"/>
  <c r="J262" s="1"/>
  <c r="M251"/>
  <c r="I252"/>
  <c r="J252"/>
  <c r="E253"/>
  <c r="F253"/>
  <c r="G253"/>
  <c r="H253"/>
  <c r="I253"/>
  <c r="K253"/>
  <c r="L253"/>
  <c r="M253"/>
  <c r="N253"/>
  <c r="O253"/>
  <c r="P253"/>
  <c r="I254"/>
  <c r="J254"/>
  <c r="M254"/>
  <c r="N254"/>
  <c r="I255"/>
  <c r="I256" s="1"/>
  <c r="I262" s="1"/>
  <c r="J255"/>
  <c r="E256"/>
  <c r="F256"/>
  <c r="G256"/>
  <c r="H256"/>
  <c r="J256"/>
  <c r="K256"/>
  <c r="L256"/>
  <c r="M256"/>
  <c r="N256"/>
  <c r="O256"/>
  <c r="P256"/>
  <c r="I257"/>
  <c r="J257"/>
  <c r="I258"/>
  <c r="J258"/>
  <c r="I259"/>
  <c r="J259"/>
  <c r="E260"/>
  <c r="F260"/>
  <c r="G260"/>
  <c r="H260"/>
  <c r="I260"/>
  <c r="J260"/>
  <c r="K260"/>
  <c r="L260"/>
  <c r="M260"/>
  <c r="N260"/>
  <c r="O260"/>
  <c r="P260"/>
  <c r="I261"/>
  <c r="J261"/>
  <c r="E262"/>
  <c r="F262"/>
  <c r="G262"/>
  <c r="H262"/>
  <c r="K262"/>
  <c r="L262"/>
  <c r="M262"/>
  <c r="N262"/>
  <c r="O262"/>
  <c r="P262"/>
  <c r="I263"/>
  <c r="J263"/>
  <c r="M263"/>
  <c r="I264"/>
  <c r="J264"/>
  <c r="E265"/>
  <c r="F265"/>
  <c r="G265"/>
  <c r="H265"/>
  <c r="I265"/>
  <c r="J265"/>
  <c r="K265"/>
  <c r="L265"/>
  <c r="M265"/>
  <c r="N265"/>
  <c r="O265"/>
  <c r="P265"/>
  <c r="I266"/>
  <c r="J266"/>
  <c r="M266"/>
  <c r="N266"/>
  <c r="I267"/>
  <c r="J267"/>
  <c r="J269" s="1"/>
  <c r="J271" s="1"/>
  <c r="I268"/>
  <c r="J268"/>
  <c r="M268"/>
  <c r="E269"/>
  <c r="F269"/>
  <c r="G269"/>
  <c r="H269"/>
  <c r="H271" s="1"/>
  <c r="I269"/>
  <c r="K269"/>
  <c r="L269"/>
  <c r="L271" s="1"/>
  <c r="M269"/>
  <c r="N269"/>
  <c r="O269"/>
  <c r="P269"/>
  <c r="P271" s="1"/>
  <c r="I270"/>
  <c r="I271" s="1"/>
  <c r="J270"/>
  <c r="E271"/>
  <c r="F271"/>
  <c r="G271"/>
  <c r="K271"/>
  <c r="M271"/>
  <c r="N271"/>
  <c r="O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E286"/>
  <c r="F286"/>
  <c r="F288" s="1"/>
  <c r="G286"/>
  <c r="H286"/>
  <c r="I286"/>
  <c r="J286"/>
  <c r="J288" s="1"/>
  <c r="K286"/>
  <c r="L286"/>
  <c r="M286"/>
  <c r="N286"/>
  <c r="N288" s="1"/>
  <c r="O286"/>
  <c r="P286"/>
  <c r="I287"/>
  <c r="J287"/>
  <c r="E288"/>
  <c r="G288"/>
  <c r="H288"/>
  <c r="I288"/>
  <c r="K288"/>
  <c r="L288"/>
  <c r="M288"/>
  <c r="O288"/>
  <c r="P288"/>
  <c r="I289"/>
  <c r="I290" s="1"/>
  <c r="J289"/>
  <c r="E290"/>
  <c r="F290"/>
  <c r="G290"/>
  <c r="H290"/>
  <c r="J290"/>
  <c r="K290"/>
  <c r="L290"/>
  <c r="M290"/>
  <c r="N290"/>
  <c r="O290"/>
  <c r="P290"/>
  <c r="I291"/>
  <c r="J291"/>
  <c r="I292"/>
  <c r="J292"/>
  <c r="M292"/>
  <c r="I293"/>
  <c r="J293"/>
  <c r="M293"/>
  <c r="I294"/>
  <c r="J294"/>
  <c r="M294"/>
  <c r="I295"/>
  <c r="J295"/>
  <c r="M295"/>
  <c r="I296"/>
  <c r="J296"/>
  <c r="M296"/>
  <c r="I297"/>
  <c r="J297"/>
  <c r="M297"/>
  <c r="I298"/>
  <c r="J298"/>
  <c r="M298"/>
  <c r="I299"/>
  <c r="J299"/>
  <c r="M299"/>
  <c r="I300"/>
  <c r="J300"/>
  <c r="M300"/>
  <c r="I301"/>
  <c r="J301"/>
  <c r="M301"/>
  <c r="I302"/>
  <c r="J302"/>
  <c r="M302"/>
  <c r="I303"/>
  <c r="J303"/>
  <c r="I304"/>
  <c r="J304"/>
  <c r="I305"/>
  <c r="J305"/>
  <c r="I306"/>
  <c r="J306"/>
  <c r="I307"/>
  <c r="J307"/>
  <c r="E308"/>
  <c r="F308"/>
  <c r="G308"/>
  <c r="H308"/>
  <c r="I308"/>
  <c r="J308"/>
  <c r="K308"/>
  <c r="L308"/>
  <c r="M308"/>
  <c r="N308"/>
  <c r="O308"/>
  <c r="P308"/>
  <c r="I309"/>
  <c r="J309"/>
  <c r="E310"/>
  <c r="G310"/>
  <c r="K310"/>
  <c r="O310"/>
  <c r="N312"/>
  <c r="O313" s="1"/>
  <c r="O312"/>
  <c r="N315"/>
  <c r="P315"/>
  <c r="N310" l="1"/>
  <c r="F310"/>
  <c r="P310"/>
  <c r="P312" s="1"/>
  <c r="O315" s="1"/>
  <c r="P316" s="1"/>
  <c r="L310"/>
  <c r="H310"/>
  <c r="I310"/>
  <c r="I240"/>
  <c r="J223"/>
  <c r="J310" s="1"/>
  <c r="J314" s="1"/>
  <c r="J185"/>
  <c r="J89"/>
  <c r="M89"/>
  <c r="M310" s="1"/>
  <c r="T91"/>
  <c r="T298"/>
  <c r="R297"/>
  <c r="T296"/>
  <c r="R267"/>
  <c r="R264"/>
  <c r="T264"/>
  <c r="T239"/>
  <c r="R207"/>
  <c r="T207"/>
  <c r="R177"/>
  <c r="N338" l="1"/>
  <c r="N339" s="1"/>
  <c r="N340" s="1"/>
  <c r="N313"/>
  <c r="M313"/>
  <c r="M314"/>
  <c r="V207"/>
  <c r="T95"/>
  <c r="R60" l="1"/>
  <c r="R37"/>
  <c r="T272"/>
  <c r="T286" s="1"/>
  <c r="Q308"/>
  <c r="R308"/>
  <c r="Q290"/>
  <c r="R290"/>
  <c r="Q286"/>
  <c r="Q288" s="1"/>
  <c r="R286"/>
  <c r="R288" s="1"/>
  <c r="Q269"/>
  <c r="Q271" s="1"/>
  <c r="R269"/>
  <c r="R271" s="1"/>
  <c r="Q265"/>
  <c r="R265"/>
  <c r="Q260"/>
  <c r="R260"/>
  <c r="Q256"/>
  <c r="R256"/>
  <c r="Q253"/>
  <c r="R253"/>
  <c r="Q248"/>
  <c r="R248"/>
  <c r="Q238"/>
  <c r="R238"/>
  <c r="Q235"/>
  <c r="R235"/>
  <c r="Q228"/>
  <c r="R228"/>
  <c r="Q225"/>
  <c r="R225"/>
  <c r="Q221"/>
  <c r="R221"/>
  <c r="Q217"/>
  <c r="R217"/>
  <c r="Q213"/>
  <c r="R213"/>
  <c r="Q209"/>
  <c r="R209"/>
  <c r="Q205"/>
  <c r="R205"/>
  <c r="Q195"/>
  <c r="R195"/>
  <c r="Q191"/>
  <c r="R191"/>
  <c r="Q187"/>
  <c r="R187"/>
  <c r="Q184"/>
  <c r="R184"/>
  <c r="Q179"/>
  <c r="R179"/>
  <c r="Q174"/>
  <c r="R174"/>
  <c r="Q168"/>
  <c r="R168"/>
  <c r="Q164"/>
  <c r="R164"/>
  <c r="Q160"/>
  <c r="R160"/>
  <c r="Q156"/>
  <c r="R156"/>
  <c r="Q146"/>
  <c r="R146"/>
  <c r="Q142"/>
  <c r="R142"/>
  <c r="Q139"/>
  <c r="R139"/>
  <c r="R262" l="1"/>
  <c r="Q185"/>
  <c r="Q223"/>
  <c r="Q240"/>
  <c r="R240"/>
  <c r="Q262"/>
  <c r="R185"/>
  <c r="R223"/>
  <c r="Q134"/>
  <c r="R134"/>
  <c r="Q125"/>
  <c r="R125"/>
  <c r="Q122"/>
  <c r="R122"/>
  <c r="Q117"/>
  <c r="R117"/>
  <c r="Q113"/>
  <c r="R113"/>
  <c r="Q110"/>
  <c r="R110"/>
  <c r="Q107"/>
  <c r="R107"/>
  <c r="Q104"/>
  <c r="R104"/>
  <c r="Q101"/>
  <c r="R101"/>
  <c r="Q98"/>
  <c r="R98"/>
  <c r="R93"/>
  <c r="R85"/>
  <c r="R82"/>
  <c r="R79"/>
  <c r="R75"/>
  <c r="R71"/>
  <c r="R68"/>
  <c r="R65"/>
  <c r="Q68"/>
  <c r="Q71"/>
  <c r="R62"/>
  <c r="R59"/>
  <c r="R56"/>
  <c r="R52"/>
  <c r="R49"/>
  <c r="R43"/>
  <c r="R39"/>
  <c r="R36"/>
  <c r="R33"/>
  <c r="R29"/>
  <c r="R24"/>
  <c r="R26" s="1"/>
  <c r="R135" l="1"/>
  <c r="R16"/>
  <c r="R13"/>
  <c r="R10"/>
  <c r="V91"/>
  <c r="V95"/>
  <c r="V239"/>
  <c r="V264"/>
  <c r="V272"/>
  <c r="V286" s="1"/>
  <c r="V296"/>
  <c r="V298"/>
  <c r="S6"/>
  <c r="U6" s="1"/>
  <c r="T6"/>
  <c r="V6" s="1"/>
  <c r="T8"/>
  <c r="S9"/>
  <c r="U9" s="1"/>
  <c r="T9"/>
  <c r="V9" s="1"/>
  <c r="S12"/>
  <c r="U12" s="1"/>
  <c r="T12"/>
  <c r="V12" s="1"/>
  <c r="S14"/>
  <c r="T15"/>
  <c r="V15" s="1"/>
  <c r="S17"/>
  <c r="S18"/>
  <c r="U18" s="1"/>
  <c r="T18"/>
  <c r="V18" s="1"/>
  <c r="S19"/>
  <c r="U19" s="1"/>
  <c r="T19"/>
  <c r="V19" s="1"/>
  <c r="S20"/>
  <c r="U20" s="1"/>
  <c r="T20"/>
  <c r="V20" s="1"/>
  <c r="S21"/>
  <c r="U21" s="1"/>
  <c r="T21"/>
  <c r="V21" s="1"/>
  <c r="S22"/>
  <c r="U22" s="1"/>
  <c r="T22"/>
  <c r="V22" s="1"/>
  <c r="S23"/>
  <c r="U23" s="1"/>
  <c r="T23"/>
  <c r="V23" s="1"/>
  <c r="S25"/>
  <c r="U25" s="1"/>
  <c r="T25"/>
  <c r="V25" s="1"/>
  <c r="S27"/>
  <c r="T27"/>
  <c r="S28"/>
  <c r="U28" s="1"/>
  <c r="T28"/>
  <c r="V28" s="1"/>
  <c r="S30"/>
  <c r="S31"/>
  <c r="U31" s="1"/>
  <c r="T31"/>
  <c r="V31" s="1"/>
  <c r="T32"/>
  <c r="V32" s="1"/>
  <c r="S35"/>
  <c r="U35" s="1"/>
  <c r="T35"/>
  <c r="V35" s="1"/>
  <c r="S37"/>
  <c r="T37"/>
  <c r="S38"/>
  <c r="U38" s="1"/>
  <c r="T38"/>
  <c r="V38" s="1"/>
  <c r="S40"/>
  <c r="T40"/>
  <c r="T41"/>
  <c r="V41" s="1"/>
  <c r="S42"/>
  <c r="U42" s="1"/>
  <c r="T42"/>
  <c r="V42" s="1"/>
  <c r="S44"/>
  <c r="U44" s="1"/>
  <c r="S45"/>
  <c r="U45" s="1"/>
  <c r="S47"/>
  <c r="U47" s="1"/>
  <c r="T47"/>
  <c r="V47" s="1"/>
  <c r="S48"/>
  <c r="U48" s="1"/>
  <c r="T48"/>
  <c r="V48" s="1"/>
  <c r="S50"/>
  <c r="T51"/>
  <c r="V51" s="1"/>
  <c r="S53"/>
  <c r="T53"/>
  <c r="S54"/>
  <c r="U54" s="1"/>
  <c r="T54"/>
  <c r="V54" s="1"/>
  <c r="S55"/>
  <c r="U55" s="1"/>
  <c r="T55"/>
  <c r="V55" s="1"/>
  <c r="S57"/>
  <c r="T57"/>
  <c r="S58"/>
  <c r="U58" s="1"/>
  <c r="T58"/>
  <c r="V58" s="1"/>
  <c r="T61"/>
  <c r="V61" s="1"/>
  <c r="S63"/>
  <c r="T64"/>
  <c r="V64" s="1"/>
  <c r="S66"/>
  <c r="T66"/>
  <c r="S67"/>
  <c r="U67" s="1"/>
  <c r="T67"/>
  <c r="V67" s="1"/>
  <c r="T69"/>
  <c r="S70"/>
  <c r="T70"/>
  <c r="V70" s="1"/>
  <c r="S72"/>
  <c r="S73"/>
  <c r="U73" s="1"/>
  <c r="T73"/>
  <c r="V73" s="1"/>
  <c r="S74"/>
  <c r="U74" s="1"/>
  <c r="T74"/>
  <c r="V74" s="1"/>
  <c r="S76"/>
  <c r="U76" s="1"/>
  <c r="S77"/>
  <c r="U77" s="1"/>
  <c r="T77"/>
  <c r="V77" s="1"/>
  <c r="S78"/>
  <c r="U78" s="1"/>
  <c r="T78"/>
  <c r="V78" s="1"/>
  <c r="S80"/>
  <c r="S81"/>
  <c r="U81" s="1"/>
  <c r="T81"/>
  <c r="V81" s="1"/>
  <c r="T83"/>
  <c r="T84"/>
  <c r="V84" s="1"/>
  <c r="S86"/>
  <c r="U86" s="1"/>
  <c r="T86"/>
  <c r="V86" s="1"/>
  <c r="S87"/>
  <c r="T87"/>
  <c r="V87" s="1"/>
  <c r="S88"/>
  <c r="T88"/>
  <c r="S91"/>
  <c r="S92"/>
  <c r="U92" s="1"/>
  <c r="T92"/>
  <c r="T93" s="1"/>
  <c r="S94"/>
  <c r="U94" s="1"/>
  <c r="T94"/>
  <c r="V94" s="1"/>
  <c r="S95"/>
  <c r="U95" s="1"/>
  <c r="S96"/>
  <c r="U96" s="1"/>
  <c r="T97"/>
  <c r="V97" s="1"/>
  <c r="S99"/>
  <c r="U99" s="1"/>
  <c r="S100"/>
  <c r="U100" s="1"/>
  <c r="T100"/>
  <c r="V100" s="1"/>
  <c r="S102"/>
  <c r="U102" s="1"/>
  <c r="S103"/>
  <c r="U103" s="1"/>
  <c r="T103"/>
  <c r="V103" s="1"/>
  <c r="S105"/>
  <c r="U105" s="1"/>
  <c r="S106"/>
  <c r="U106" s="1"/>
  <c r="T106"/>
  <c r="V106" s="1"/>
  <c r="S108"/>
  <c r="U108" s="1"/>
  <c r="T109"/>
  <c r="V109" s="1"/>
  <c r="S111"/>
  <c r="U111" s="1"/>
  <c r="T111"/>
  <c r="V111" s="1"/>
  <c r="T112"/>
  <c r="V112" s="1"/>
  <c r="S114"/>
  <c r="U114" s="1"/>
  <c r="T114"/>
  <c r="V114" s="1"/>
  <c r="S115"/>
  <c r="T116"/>
  <c r="V116" s="1"/>
  <c r="S119"/>
  <c r="U119" s="1"/>
  <c r="T119"/>
  <c r="V119" s="1"/>
  <c r="S120"/>
  <c r="T120"/>
  <c r="S121"/>
  <c r="U121" s="1"/>
  <c r="T121"/>
  <c r="V121" s="1"/>
  <c r="S123"/>
  <c r="T123"/>
  <c r="S124"/>
  <c r="U124" s="1"/>
  <c r="T124"/>
  <c r="V124" s="1"/>
  <c r="S126"/>
  <c r="U126" s="1"/>
  <c r="T126"/>
  <c r="V126" s="1"/>
  <c r="S128"/>
  <c r="U128" s="1"/>
  <c r="T128"/>
  <c r="V128" s="1"/>
  <c r="S129"/>
  <c r="U129" s="1"/>
  <c r="T129"/>
  <c r="V129" s="1"/>
  <c r="S130"/>
  <c r="U130" s="1"/>
  <c r="T130"/>
  <c r="V130" s="1"/>
  <c r="S131"/>
  <c r="U131" s="1"/>
  <c r="T131"/>
  <c r="V131" s="1"/>
  <c r="S132"/>
  <c r="T132"/>
  <c r="T133"/>
  <c r="V133" s="1"/>
  <c r="S136"/>
  <c r="U136" s="1"/>
  <c r="T136"/>
  <c r="V136" s="1"/>
  <c r="S137"/>
  <c r="U137" s="1"/>
  <c r="T137"/>
  <c r="V137" s="1"/>
  <c r="S138"/>
  <c r="U138" s="1"/>
  <c r="T138"/>
  <c r="V138" s="1"/>
  <c r="S140"/>
  <c r="T140"/>
  <c r="V140" s="1"/>
  <c r="V142" s="1"/>
  <c r="S141"/>
  <c r="U141" s="1"/>
  <c r="T141"/>
  <c r="V141" s="1"/>
  <c r="T143"/>
  <c r="S144"/>
  <c r="U144" s="1"/>
  <c r="T144"/>
  <c r="V144" s="1"/>
  <c r="S145"/>
  <c r="U145" s="1"/>
  <c r="T145"/>
  <c r="V145" s="1"/>
  <c r="S147"/>
  <c r="S148"/>
  <c r="U148" s="1"/>
  <c r="T148"/>
  <c r="V148" s="1"/>
  <c r="S149"/>
  <c r="U149" s="1"/>
  <c r="T149"/>
  <c r="V149" s="1"/>
  <c r="S150"/>
  <c r="U150" s="1"/>
  <c r="T150"/>
  <c r="V150" s="1"/>
  <c r="S151"/>
  <c r="U151" s="1"/>
  <c r="T151"/>
  <c r="V151" s="1"/>
  <c r="S152"/>
  <c r="U152" s="1"/>
  <c r="T152"/>
  <c r="V152" s="1"/>
  <c r="S153"/>
  <c r="U153" s="1"/>
  <c r="T153"/>
  <c r="V153" s="1"/>
  <c r="S154"/>
  <c r="U154" s="1"/>
  <c r="T154"/>
  <c r="V154" s="1"/>
  <c r="S155"/>
  <c r="U155" s="1"/>
  <c r="T155"/>
  <c r="V155" s="1"/>
  <c r="S157"/>
  <c r="U157" s="1"/>
  <c r="T157"/>
  <c r="V157" s="1"/>
  <c r="S158"/>
  <c r="U158" s="1"/>
  <c r="S159"/>
  <c r="T159"/>
  <c r="S161"/>
  <c r="U161" s="1"/>
  <c r="T161"/>
  <c r="V161" s="1"/>
  <c r="S162"/>
  <c r="T162"/>
  <c r="S163"/>
  <c r="U163" s="1"/>
  <c r="T163"/>
  <c r="V163" s="1"/>
  <c r="S165"/>
  <c r="U165" s="1"/>
  <c r="T165"/>
  <c r="V165" s="1"/>
  <c r="S166"/>
  <c r="T166"/>
  <c r="S167"/>
  <c r="U167" s="1"/>
  <c r="T167"/>
  <c r="V167" s="1"/>
  <c r="S169"/>
  <c r="U169" s="1"/>
  <c r="T169"/>
  <c r="V169" s="1"/>
  <c r="S170"/>
  <c r="U170" s="1"/>
  <c r="T170"/>
  <c r="V170" s="1"/>
  <c r="S171"/>
  <c r="T171"/>
  <c r="S172"/>
  <c r="U172" s="1"/>
  <c r="T172"/>
  <c r="V172" s="1"/>
  <c r="S173"/>
  <c r="U173" s="1"/>
  <c r="T173"/>
  <c r="V173" s="1"/>
  <c r="S175"/>
  <c r="U175" s="1"/>
  <c r="T175"/>
  <c r="V175" s="1"/>
  <c r="S176"/>
  <c r="U176" s="1"/>
  <c r="T176"/>
  <c r="V176" s="1"/>
  <c r="S177"/>
  <c r="S179" s="1"/>
  <c r="T177"/>
  <c r="S178"/>
  <c r="U178" s="1"/>
  <c r="T178"/>
  <c r="V178" s="1"/>
  <c r="T180"/>
  <c r="V180" s="1"/>
  <c r="S181"/>
  <c r="T181"/>
  <c r="S182"/>
  <c r="U182" s="1"/>
  <c r="T182"/>
  <c r="V182" s="1"/>
  <c r="S183"/>
  <c r="U183" s="1"/>
  <c r="T183"/>
  <c r="V183" s="1"/>
  <c r="S186"/>
  <c r="S187" s="1"/>
  <c r="S188"/>
  <c r="S189"/>
  <c r="U189" s="1"/>
  <c r="T189"/>
  <c r="V189" s="1"/>
  <c r="S190"/>
  <c r="U190" s="1"/>
  <c r="T190"/>
  <c r="V190" s="1"/>
  <c r="S192"/>
  <c r="U192" s="1"/>
  <c r="T192"/>
  <c r="V192" s="1"/>
  <c r="S193"/>
  <c r="T193"/>
  <c r="S194"/>
  <c r="U194" s="1"/>
  <c r="T194"/>
  <c r="V194" s="1"/>
  <c r="S197"/>
  <c r="U197" s="1"/>
  <c r="S198"/>
  <c r="U198" s="1"/>
  <c r="S199"/>
  <c r="U199" s="1"/>
  <c r="T199"/>
  <c r="S200"/>
  <c r="U200" s="1"/>
  <c r="T200"/>
  <c r="V200" s="1"/>
  <c r="S201"/>
  <c r="U201" s="1"/>
  <c r="T201"/>
  <c r="V201" s="1"/>
  <c r="S202"/>
  <c r="U202" s="1"/>
  <c r="T202"/>
  <c r="V202" s="1"/>
  <c r="S203"/>
  <c r="U203" s="1"/>
  <c r="T203"/>
  <c r="V203" s="1"/>
  <c r="S204"/>
  <c r="U204" s="1"/>
  <c r="T204"/>
  <c r="V204" s="1"/>
  <c r="S206"/>
  <c r="U206" s="1"/>
  <c r="S207"/>
  <c r="S208"/>
  <c r="U208" s="1"/>
  <c r="T208"/>
  <c r="T209" s="1"/>
  <c r="S211"/>
  <c r="U211" s="1"/>
  <c r="T211"/>
  <c r="V211" s="1"/>
  <c r="S212"/>
  <c r="U212" s="1"/>
  <c r="T212"/>
  <c r="V212" s="1"/>
  <c r="S214"/>
  <c r="U214" s="1"/>
  <c r="T214"/>
  <c r="V214" s="1"/>
  <c r="S215"/>
  <c r="T215"/>
  <c r="S216"/>
  <c r="U216" s="1"/>
  <c r="T216"/>
  <c r="V216" s="1"/>
  <c r="S218"/>
  <c r="T218"/>
  <c r="T219"/>
  <c r="V219" s="1"/>
  <c r="S220"/>
  <c r="U220" s="1"/>
  <c r="T220"/>
  <c r="V220" s="1"/>
  <c r="S222"/>
  <c r="U222" s="1"/>
  <c r="T222"/>
  <c r="V222" s="1"/>
  <c r="S224"/>
  <c r="S225" s="1"/>
  <c r="T224"/>
  <c r="T225" s="1"/>
  <c r="S226"/>
  <c r="U226" s="1"/>
  <c r="U228" s="1"/>
  <c r="T226"/>
  <c r="S227"/>
  <c r="U227" s="1"/>
  <c r="T227"/>
  <c r="V227" s="1"/>
  <c r="S229"/>
  <c r="U229" s="1"/>
  <c r="S230"/>
  <c r="U230" s="1"/>
  <c r="S232"/>
  <c r="U232" s="1"/>
  <c r="S233"/>
  <c r="U233" s="1"/>
  <c r="S234"/>
  <c r="U234" s="1"/>
  <c r="T234"/>
  <c r="V234" s="1"/>
  <c r="S236"/>
  <c r="U236" s="1"/>
  <c r="S237"/>
  <c r="U237" s="1"/>
  <c r="T237"/>
  <c r="V237" s="1"/>
  <c r="S239"/>
  <c r="U239" s="1"/>
  <c r="S241"/>
  <c r="T242"/>
  <c r="V242" s="1"/>
  <c r="S243"/>
  <c r="U243" s="1"/>
  <c r="T243"/>
  <c r="V243" s="1"/>
  <c r="T244"/>
  <c r="V244" s="1"/>
  <c r="S245"/>
  <c r="U245" s="1"/>
  <c r="T245"/>
  <c r="V245" s="1"/>
  <c r="S246"/>
  <c r="U246" s="1"/>
  <c r="T246"/>
  <c r="V246" s="1"/>
  <c r="S247"/>
  <c r="U247" s="1"/>
  <c r="T247"/>
  <c r="V247" s="1"/>
  <c r="S249"/>
  <c r="T249"/>
  <c r="T250"/>
  <c r="V250" s="1"/>
  <c r="T251"/>
  <c r="V251" s="1"/>
  <c r="S252"/>
  <c r="U252" s="1"/>
  <c r="T252"/>
  <c r="V252" s="1"/>
  <c r="S255"/>
  <c r="U255" s="1"/>
  <c r="T255"/>
  <c r="V255" s="1"/>
  <c r="S257"/>
  <c r="T257"/>
  <c r="S258"/>
  <c r="U258" s="1"/>
  <c r="T258"/>
  <c r="V258" s="1"/>
  <c r="S259"/>
  <c r="U259" s="1"/>
  <c r="T259"/>
  <c r="V259" s="1"/>
  <c r="S261"/>
  <c r="T261"/>
  <c r="T263"/>
  <c r="T265" s="1"/>
  <c r="S264"/>
  <c r="U264" s="1"/>
  <c r="S267"/>
  <c r="T267"/>
  <c r="T268"/>
  <c r="V268" s="1"/>
  <c r="S270"/>
  <c r="U270" s="1"/>
  <c r="T270"/>
  <c r="V270" s="1"/>
  <c r="S272"/>
  <c r="S286" s="1"/>
  <c r="S273"/>
  <c r="U273" s="1"/>
  <c r="T273"/>
  <c r="V273" s="1"/>
  <c r="S274"/>
  <c r="U274" s="1"/>
  <c r="T274"/>
  <c r="V274" s="1"/>
  <c r="S275"/>
  <c r="U275" s="1"/>
  <c r="T275"/>
  <c r="V275" s="1"/>
  <c r="S276"/>
  <c r="U276" s="1"/>
  <c r="T276"/>
  <c r="V276" s="1"/>
  <c r="S277"/>
  <c r="U277" s="1"/>
  <c r="T277"/>
  <c r="V277" s="1"/>
  <c r="S278"/>
  <c r="U278" s="1"/>
  <c r="T278"/>
  <c r="V278" s="1"/>
  <c r="S279"/>
  <c r="U279" s="1"/>
  <c r="T279"/>
  <c r="V279" s="1"/>
  <c r="S280"/>
  <c r="U280" s="1"/>
  <c r="T280"/>
  <c r="V280" s="1"/>
  <c r="S281"/>
  <c r="U281" s="1"/>
  <c r="T281"/>
  <c r="V281" s="1"/>
  <c r="S282"/>
  <c r="U282" s="1"/>
  <c r="T282"/>
  <c r="V282" s="1"/>
  <c r="S283"/>
  <c r="U283" s="1"/>
  <c r="T283"/>
  <c r="V283" s="1"/>
  <c r="S284"/>
  <c r="U284" s="1"/>
  <c r="T284"/>
  <c r="V284" s="1"/>
  <c r="S285"/>
  <c r="U285" s="1"/>
  <c r="T285"/>
  <c r="V285" s="1"/>
  <c r="S287"/>
  <c r="U287" s="1"/>
  <c r="T287"/>
  <c r="T288" s="1"/>
  <c r="S289"/>
  <c r="S290" s="1"/>
  <c r="T289"/>
  <c r="T290" s="1"/>
  <c r="S291"/>
  <c r="U291" s="1"/>
  <c r="T291"/>
  <c r="V291" s="1"/>
  <c r="T292"/>
  <c r="V292" s="1"/>
  <c r="T293"/>
  <c r="V293" s="1"/>
  <c r="T294"/>
  <c r="V294" s="1"/>
  <c r="T295"/>
  <c r="V295" s="1"/>
  <c r="T297"/>
  <c r="V297" s="1"/>
  <c r="T299"/>
  <c r="V299" s="1"/>
  <c r="T300"/>
  <c r="V300" s="1"/>
  <c r="T301"/>
  <c r="V301" s="1"/>
  <c r="T302"/>
  <c r="V302" s="1"/>
  <c r="S303"/>
  <c r="U303" s="1"/>
  <c r="T303"/>
  <c r="V303" s="1"/>
  <c r="S304"/>
  <c r="U304" s="1"/>
  <c r="T304"/>
  <c r="V304" s="1"/>
  <c r="S305"/>
  <c r="U305" s="1"/>
  <c r="T305"/>
  <c r="V305" s="1"/>
  <c r="S306"/>
  <c r="U306" s="1"/>
  <c r="T306"/>
  <c r="V306" s="1"/>
  <c r="S307"/>
  <c r="T307"/>
  <c r="S309"/>
  <c r="U309" s="1"/>
  <c r="T309"/>
  <c r="V309" s="1"/>
  <c r="T241"/>
  <c r="T266"/>
  <c r="S295"/>
  <c r="U295" s="1"/>
  <c r="S231"/>
  <c r="U231" s="1"/>
  <c r="S294"/>
  <c r="U294" s="1"/>
  <c r="S297"/>
  <c r="U297" s="1"/>
  <c r="S300"/>
  <c r="U300" s="1"/>
  <c r="T233"/>
  <c r="T206"/>
  <c r="V206" s="1"/>
  <c r="T186"/>
  <c r="T99"/>
  <c r="T17"/>
  <c r="T236"/>
  <c r="S219"/>
  <c r="U219" s="1"/>
  <c r="S196"/>
  <c r="U196" s="1"/>
  <c r="S133"/>
  <c r="U133" s="1"/>
  <c r="T108"/>
  <c r="S97"/>
  <c r="U97" s="1"/>
  <c r="S32"/>
  <c r="U32" s="1"/>
  <c r="S8"/>
  <c r="T96"/>
  <c r="T105"/>
  <c r="T147"/>
  <c r="T188"/>
  <c r="T196"/>
  <c r="V196" s="1"/>
  <c r="T231"/>
  <c r="V231" s="1"/>
  <c r="S266"/>
  <c r="S268"/>
  <c r="U268" s="1"/>
  <c r="S263"/>
  <c r="S250"/>
  <c r="U250" s="1"/>
  <c r="S251"/>
  <c r="U251" s="1"/>
  <c r="S244"/>
  <c r="U244" s="1"/>
  <c r="T229"/>
  <c r="V229" s="1"/>
  <c r="S143"/>
  <c r="T127"/>
  <c r="V127" s="1"/>
  <c r="S127"/>
  <c r="U127" s="1"/>
  <c r="S118"/>
  <c r="U118" s="1"/>
  <c r="T118"/>
  <c r="V118" s="1"/>
  <c r="T115"/>
  <c r="S90"/>
  <c r="U90" s="1"/>
  <c r="T90"/>
  <c r="V90" s="1"/>
  <c r="S84"/>
  <c r="U84" s="1"/>
  <c r="S83"/>
  <c r="T80"/>
  <c r="T76"/>
  <c r="T72"/>
  <c r="S69"/>
  <c r="S71" s="1"/>
  <c r="S64"/>
  <c r="U64" s="1"/>
  <c r="S60"/>
  <c r="T60"/>
  <c r="S51"/>
  <c r="U51" s="1"/>
  <c r="T46"/>
  <c r="S46"/>
  <c r="S41"/>
  <c r="U41" s="1"/>
  <c r="S34"/>
  <c r="T34"/>
  <c r="S15"/>
  <c r="U15" s="1"/>
  <c r="S11"/>
  <c r="S109"/>
  <c r="U109" s="1"/>
  <c r="S112"/>
  <c r="U112" s="1"/>
  <c r="S116"/>
  <c r="U116" s="1"/>
  <c r="S180"/>
  <c r="U180" s="1"/>
  <c r="S210"/>
  <c r="S242"/>
  <c r="U242" s="1"/>
  <c r="S254"/>
  <c r="S299"/>
  <c r="U299" s="1"/>
  <c r="S292"/>
  <c r="U292" s="1"/>
  <c r="S302"/>
  <c r="U302" s="1"/>
  <c r="S301"/>
  <c r="U301" s="1"/>
  <c r="S298"/>
  <c r="U298" s="1"/>
  <c r="S296"/>
  <c r="U296" s="1"/>
  <c r="S293"/>
  <c r="U293" s="1"/>
  <c r="T158"/>
  <c r="V158" s="1"/>
  <c r="T197"/>
  <c r="V197" s="1"/>
  <c r="T198"/>
  <c r="V198" s="1"/>
  <c r="T210"/>
  <c r="T230"/>
  <c r="V230" s="1"/>
  <c r="T232"/>
  <c r="V232" s="1"/>
  <c r="T102"/>
  <c r="T63"/>
  <c r="Q59"/>
  <c r="Q56"/>
  <c r="Q52"/>
  <c r="T50"/>
  <c r="T45"/>
  <c r="V45" s="1"/>
  <c r="T44"/>
  <c r="V44" s="1"/>
  <c r="T30"/>
  <c r="T14"/>
  <c r="T11"/>
  <c r="T5"/>
  <c r="V5" s="1"/>
  <c r="T308" l="1"/>
  <c r="S217"/>
  <c r="S142"/>
  <c r="U139"/>
  <c r="T134"/>
  <c r="S164"/>
  <c r="T10"/>
  <c r="T269"/>
  <c r="T271" s="1"/>
  <c r="S160"/>
  <c r="V139"/>
  <c r="V113"/>
  <c r="U101"/>
  <c r="S93"/>
  <c r="U79"/>
  <c r="T228"/>
  <c r="T122"/>
  <c r="S82"/>
  <c r="T29"/>
  <c r="T52"/>
  <c r="V50"/>
  <c r="V52" s="1"/>
  <c r="T213"/>
  <c r="V210"/>
  <c r="V213" s="1"/>
  <c r="U11"/>
  <c r="U13" s="1"/>
  <c r="S13"/>
  <c r="T75"/>
  <c r="V72"/>
  <c r="V75" s="1"/>
  <c r="V186"/>
  <c r="V187" s="1"/>
  <c r="T187"/>
  <c r="V266"/>
  <c r="S36"/>
  <c r="U34"/>
  <c r="U36" s="1"/>
  <c r="T117"/>
  <c r="V115"/>
  <c r="V117" s="1"/>
  <c r="V7"/>
  <c r="T7"/>
  <c r="S213"/>
  <c r="U210"/>
  <c r="U213" s="1"/>
  <c r="T36"/>
  <c r="V34"/>
  <c r="V36" s="1"/>
  <c r="T49"/>
  <c r="V46"/>
  <c r="V49" s="1"/>
  <c r="T82"/>
  <c r="V80"/>
  <c r="V82" s="1"/>
  <c r="T191"/>
  <c r="V188"/>
  <c r="V191" s="1"/>
  <c r="S10"/>
  <c r="U8"/>
  <c r="U10" s="1"/>
  <c r="T24"/>
  <c r="T26" s="1"/>
  <c r="V17"/>
  <c r="V24" s="1"/>
  <c r="V26" s="1"/>
  <c r="T235"/>
  <c r="V233"/>
  <c r="V235" s="1"/>
  <c r="U238"/>
  <c r="U107"/>
  <c r="U98"/>
  <c r="T104"/>
  <c r="V102"/>
  <c r="V104" s="1"/>
  <c r="S49"/>
  <c r="U46"/>
  <c r="U49" s="1"/>
  <c r="U60"/>
  <c r="T79"/>
  <c r="V76"/>
  <c r="V79" s="1"/>
  <c r="S265"/>
  <c r="U263"/>
  <c r="U265" s="1"/>
  <c r="T98"/>
  <c r="V96"/>
  <c r="V98" s="1"/>
  <c r="T110"/>
  <c r="V108"/>
  <c r="V110" s="1"/>
  <c r="T238"/>
  <c r="T240" s="1"/>
  <c r="V236"/>
  <c r="V238" s="1"/>
  <c r="T248"/>
  <c r="V241"/>
  <c r="V248" s="1"/>
  <c r="U235"/>
  <c r="U113"/>
  <c r="U104"/>
  <c r="S16"/>
  <c r="S256"/>
  <c r="U254"/>
  <c r="U256" s="1"/>
  <c r="V60"/>
  <c r="T62"/>
  <c r="T107"/>
  <c r="V105"/>
  <c r="V107" s="1"/>
  <c r="T33"/>
  <c r="V30"/>
  <c r="V33" s="1"/>
  <c r="T16"/>
  <c r="V14"/>
  <c r="V16" s="1"/>
  <c r="T65"/>
  <c r="V63"/>
  <c r="V65" s="1"/>
  <c r="S146"/>
  <c r="U143"/>
  <c r="U146" s="1"/>
  <c r="V11"/>
  <c r="V13" s="1"/>
  <c r="T13"/>
  <c r="S85"/>
  <c r="U83"/>
  <c r="U85" s="1"/>
  <c r="U266"/>
  <c r="T156"/>
  <c r="V147"/>
  <c r="V156" s="1"/>
  <c r="T101"/>
  <c r="V99"/>
  <c r="V101" s="1"/>
  <c r="U205"/>
  <c r="U110"/>
  <c r="V218"/>
  <c r="V221" s="1"/>
  <c r="T221"/>
  <c r="V215"/>
  <c r="V217" s="1"/>
  <c r="T217"/>
  <c r="S308"/>
  <c r="S260"/>
  <c r="S253"/>
  <c r="S209"/>
  <c r="S195"/>
  <c r="S191"/>
  <c r="S184"/>
  <c r="S174"/>
  <c r="S168"/>
  <c r="S156"/>
  <c r="S134"/>
  <c r="S125"/>
  <c r="S122"/>
  <c r="S117"/>
  <c r="S75"/>
  <c r="S68"/>
  <c r="S65"/>
  <c r="S59"/>
  <c r="S33"/>
  <c r="S29"/>
  <c r="S24"/>
  <c r="S26" s="1"/>
  <c r="V287"/>
  <c r="V288" s="1"/>
  <c r="V263"/>
  <c r="V265" s="1"/>
  <c r="U257"/>
  <c r="U260" s="1"/>
  <c r="U249"/>
  <c r="U253" s="1"/>
  <c r="U215"/>
  <c r="U217" s="1"/>
  <c r="U181"/>
  <c r="U184" s="1"/>
  <c r="U171"/>
  <c r="U174" s="1"/>
  <c r="U166"/>
  <c r="U168" s="1"/>
  <c r="U140"/>
  <c r="U142" s="1"/>
  <c r="V120"/>
  <c r="V122" s="1"/>
  <c r="V92"/>
  <c r="V93" s="1"/>
  <c r="V181"/>
  <c r="V184" s="1"/>
  <c r="T184"/>
  <c r="V171"/>
  <c r="V174" s="1"/>
  <c r="T174"/>
  <c r="V166"/>
  <c r="V168" s="1"/>
  <c r="T168"/>
  <c r="V123"/>
  <c r="V125" s="1"/>
  <c r="T125"/>
  <c r="V57"/>
  <c r="V59" s="1"/>
  <c r="T59"/>
  <c r="S5"/>
  <c r="S269"/>
  <c r="S271" s="1"/>
  <c r="T260"/>
  <c r="T254"/>
  <c r="T253"/>
  <c r="S238"/>
  <c r="S235"/>
  <c r="S228"/>
  <c r="T195"/>
  <c r="T85"/>
  <c r="T71"/>
  <c r="T68"/>
  <c r="U289"/>
  <c r="U290" s="1"/>
  <c r="U267"/>
  <c r="U269" s="1"/>
  <c r="V257"/>
  <c r="V260" s="1"/>
  <c r="V249"/>
  <c r="V253" s="1"/>
  <c r="V226"/>
  <c r="V228" s="1"/>
  <c r="U207"/>
  <c r="U209" s="1"/>
  <c r="U186"/>
  <c r="U187" s="1"/>
  <c r="U177"/>
  <c r="U179" s="1"/>
  <c r="U162"/>
  <c r="U164" s="1"/>
  <c r="U147"/>
  <c r="U156" s="1"/>
  <c r="U91"/>
  <c r="U93" s="1"/>
  <c r="U88"/>
  <c r="V69"/>
  <c r="V71" s="1"/>
  <c r="U66"/>
  <c r="U68" s="1"/>
  <c r="U63"/>
  <c r="U65" s="1"/>
  <c r="U30"/>
  <c r="U33" s="1"/>
  <c r="U27"/>
  <c r="U29" s="1"/>
  <c r="U17"/>
  <c r="U24" s="1"/>
  <c r="U26" s="1"/>
  <c r="U14"/>
  <c r="U16" s="1"/>
  <c r="S248"/>
  <c r="S205"/>
  <c r="S139"/>
  <c r="S113"/>
  <c r="S110"/>
  <c r="S107"/>
  <c r="S104"/>
  <c r="S101"/>
  <c r="S98"/>
  <c r="S79"/>
  <c r="S56"/>
  <c r="S52"/>
  <c r="S43"/>
  <c r="S39"/>
  <c r="U307"/>
  <c r="U308" s="1"/>
  <c r="V289"/>
  <c r="V290" s="1"/>
  <c r="V267"/>
  <c r="V269" s="1"/>
  <c r="V271" s="1"/>
  <c r="U261"/>
  <c r="U241"/>
  <c r="U248" s="1"/>
  <c r="U224"/>
  <c r="U225" s="1"/>
  <c r="U193"/>
  <c r="U195" s="1"/>
  <c r="U188"/>
  <c r="U191" s="1"/>
  <c r="U159"/>
  <c r="U160" s="1"/>
  <c r="U132"/>
  <c r="U134" s="1"/>
  <c r="V88"/>
  <c r="U80"/>
  <c r="U82" s="1"/>
  <c r="V66"/>
  <c r="V68" s="1"/>
  <c r="U53"/>
  <c r="U56" s="1"/>
  <c r="U50"/>
  <c r="U52" s="1"/>
  <c r="U40"/>
  <c r="U43" s="1"/>
  <c r="U37"/>
  <c r="U39" s="1"/>
  <c r="V27"/>
  <c r="V29" s="1"/>
  <c r="V8"/>
  <c r="V10" s="1"/>
  <c r="V261"/>
  <c r="V199"/>
  <c r="V205" s="1"/>
  <c r="T205"/>
  <c r="V177"/>
  <c r="V179" s="1"/>
  <c r="T179"/>
  <c r="V162"/>
  <c r="V164" s="1"/>
  <c r="T164"/>
  <c r="V143"/>
  <c r="V146" s="1"/>
  <c r="T146"/>
  <c r="V53"/>
  <c r="V56" s="1"/>
  <c r="T56"/>
  <c r="S288"/>
  <c r="S221"/>
  <c r="T160"/>
  <c r="T142"/>
  <c r="T139"/>
  <c r="T113"/>
  <c r="T43"/>
  <c r="T39"/>
  <c r="V307"/>
  <c r="V308" s="1"/>
  <c r="U272"/>
  <c r="U286" s="1"/>
  <c r="U288" s="1"/>
  <c r="V224"/>
  <c r="V225" s="1"/>
  <c r="U218"/>
  <c r="U221" s="1"/>
  <c r="V208"/>
  <c r="V193"/>
  <c r="V195" s="1"/>
  <c r="V159"/>
  <c r="V160" s="1"/>
  <c r="V132"/>
  <c r="V134" s="1"/>
  <c r="U123"/>
  <c r="U125" s="1"/>
  <c r="U120"/>
  <c r="U122" s="1"/>
  <c r="U115"/>
  <c r="U117" s="1"/>
  <c r="V83"/>
  <c r="V85" s="1"/>
  <c r="U57"/>
  <c r="U59" s="1"/>
  <c r="V40"/>
  <c r="V43" s="1"/>
  <c r="V37"/>
  <c r="V39" s="1"/>
  <c r="V209"/>
  <c r="V62"/>
  <c r="U69"/>
  <c r="Q39"/>
  <c r="Q36"/>
  <c r="Q33"/>
  <c r="Q29"/>
  <c r="Q24"/>
  <c r="Q26" s="1"/>
  <c r="Q16"/>
  <c r="Q13"/>
  <c r="Q10"/>
  <c r="Q7"/>
  <c r="R7"/>
  <c r="R89" s="1"/>
  <c r="R310" s="1"/>
  <c r="Q49"/>
  <c r="Q43"/>
  <c r="T223" l="1"/>
  <c r="S262"/>
  <c r="V185"/>
  <c r="U240"/>
  <c r="T135"/>
  <c r="S223"/>
  <c r="T89"/>
  <c r="U223"/>
  <c r="U271"/>
  <c r="V240"/>
  <c r="S185"/>
  <c r="V135"/>
  <c r="S240"/>
  <c r="U5"/>
  <c r="U7" s="1"/>
  <c r="S7"/>
  <c r="U262"/>
  <c r="U185"/>
  <c r="U135"/>
  <c r="S135"/>
  <c r="T256"/>
  <c r="T262" s="1"/>
  <c r="V254"/>
  <c r="V256" s="1"/>
  <c r="V262" s="1"/>
  <c r="T185"/>
  <c r="V223"/>
  <c r="V89"/>
  <c r="U72"/>
  <c r="U75" s="1"/>
  <c r="U70"/>
  <c r="U71" s="1"/>
  <c r="T310" l="1"/>
  <c r="V310"/>
  <c r="Q75"/>
  <c r="Q65"/>
  <c r="Q62"/>
  <c r="Q93"/>
  <c r="Q135" s="1"/>
  <c r="Q85"/>
  <c r="Q82"/>
  <c r="Q79"/>
  <c r="S61" l="1"/>
  <c r="Q89"/>
  <c r="Q310" s="1"/>
  <c r="U61" l="1"/>
  <c r="U62" s="1"/>
  <c r="U89" s="1"/>
  <c r="U310" s="1"/>
  <c r="S62"/>
  <c r="S89" s="1"/>
  <c r="S310" s="1"/>
  <c r="A253" l="1"/>
</calcChain>
</file>

<file path=xl/sharedStrings.xml><?xml version="1.0" encoding="utf-8"?>
<sst xmlns="http://schemas.openxmlformats.org/spreadsheetml/2006/main" count="575" uniqueCount="414">
  <si>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</si>
  <si>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</si>
  <si>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</si>
  <si>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</si>
  <si>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</si>
  <si>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</si>
  <si>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CICR, Nagpur</t>
  </si>
  <si>
    <t>AICRP on Cotton, CICR, Nagpur</t>
  </si>
  <si>
    <t>6(1)/2018</t>
  </si>
  <si>
    <t>Maharashtra</t>
  </si>
  <si>
    <t>CRIJAF, Barrackpore</t>
  </si>
  <si>
    <t>AINPJAF, CRIJAF, Barrackpore</t>
  </si>
  <si>
    <t>6(2)/2018</t>
  </si>
  <si>
    <t>West Bengal</t>
  </si>
  <si>
    <t>NRRI, Cuttack</t>
  </si>
  <si>
    <t>Incentivizing Research in Agriculture, NRRI, Cuttack</t>
  </si>
  <si>
    <t>6(3)/2018</t>
  </si>
  <si>
    <t>Odhisha</t>
  </si>
  <si>
    <t>CTRI, Rajamundry</t>
  </si>
  <si>
    <t>NETWORK on Tobacco, CTRI, Rajamundry</t>
  </si>
  <si>
    <t>6(4)/2018</t>
  </si>
  <si>
    <t>Andhra Pradesh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</si>
  <si>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</si>
  <si>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</si>
  <si>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</si>
  <si>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</si>
  <si>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</si>
  <si>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</si>
  <si>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</si>
  <si>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</si>
  <si>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</si>
  <si>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</si>
  <si>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</si>
  <si>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IGFRI, Jhansi</t>
  </si>
  <si>
    <t>AICRP on Forage Crops and Utilization, IGFRI, Jhansi</t>
  </si>
  <si>
    <t>6(6)/2018</t>
  </si>
  <si>
    <t>Uttar Pradesh</t>
  </si>
  <si>
    <t>IIPR, Kanpur</t>
  </si>
  <si>
    <t>6(7)/2018</t>
  </si>
  <si>
    <t>IISR, Lucknow</t>
  </si>
  <si>
    <t>AICRP on Sugercane, IISR, Lucknow</t>
  </si>
  <si>
    <t>6(8)/2018</t>
  </si>
  <si>
    <t>NBAIM, Maunath Bhanjan</t>
  </si>
  <si>
    <t>AMAAS, NBAIM, Mau</t>
  </si>
  <si>
    <t>6(9)/2018</t>
  </si>
  <si>
    <t>NBPGR, New Delhi</t>
  </si>
  <si>
    <t>AICRP POTENTIAL CROP, NBPGR, New Delhi</t>
  </si>
  <si>
    <t>CRP-AGRO BIODIVERSITY, NBPGR, New Delhi</t>
  </si>
  <si>
    <t>6(10)/2018</t>
  </si>
  <si>
    <t>6(11)/2018</t>
  </si>
  <si>
    <t>Tamil Nadu</t>
  </si>
  <si>
    <t>SBI, Coimbatore</t>
  </si>
  <si>
    <t>6(12)/2018</t>
  </si>
  <si>
    <t>Uttarkhand</t>
  </si>
  <si>
    <t>VPKAS, Almora</t>
  </si>
  <si>
    <t>NRCIPM, New Delhi</t>
  </si>
  <si>
    <t>6(13)/2018</t>
  </si>
  <si>
    <t>DGR, Junagadh</t>
  </si>
  <si>
    <t>AICRP on Groudnut, DGR, Junagadh</t>
  </si>
  <si>
    <t>6(14)/2018</t>
  </si>
  <si>
    <t>Gujarat</t>
  </si>
  <si>
    <t>NRC Plant Biotechnology, New Delhi</t>
  </si>
  <si>
    <t>6(15)/2018</t>
  </si>
  <si>
    <t>DR &amp; MR, Bharatpur</t>
  </si>
  <si>
    <t>AICRP on R&amp;M, DR &amp; MR, Bharatpur</t>
  </si>
  <si>
    <t>6(16)/2018</t>
  </si>
  <si>
    <t>Rajasthan</t>
  </si>
  <si>
    <t>IIMR, Hyderabad</t>
  </si>
  <si>
    <t>6(17)/2018</t>
  </si>
  <si>
    <t>Telangana</t>
  </si>
  <si>
    <t>DSR, Indore</t>
  </si>
  <si>
    <t xml:space="preserve">AICRP on Soyabean, Indore </t>
  </si>
  <si>
    <t>6(18)/2018</t>
  </si>
  <si>
    <t>Madhya Pradesh</t>
  </si>
  <si>
    <t>NBAIR, Bengaluru</t>
  </si>
  <si>
    <t>AICRP on Biological Control, NBAIR, Benglaluru</t>
  </si>
  <si>
    <t>6(19)/2018</t>
  </si>
  <si>
    <t>Karnataka</t>
  </si>
  <si>
    <t>IIMR, Ludhiana</t>
  </si>
  <si>
    <t>AICRP On Maize, IIMR, Ludhiana</t>
  </si>
  <si>
    <t>6(20)/2018</t>
  </si>
  <si>
    <t>Punjab</t>
  </si>
  <si>
    <t>IIOR, Hyderabad</t>
  </si>
  <si>
    <t>AICRP on Sesame &amp; Niger, IIOR, Hyderabad</t>
  </si>
  <si>
    <t>6(21)/2018</t>
  </si>
  <si>
    <t>IIRR,  Hyderabad</t>
  </si>
  <si>
    <t>AICRP on Rice, IIRR, Hyderabad</t>
  </si>
  <si>
    <t>CRP on  Rice Biofortification, IIRR, Hyderabad</t>
  </si>
  <si>
    <t>6(22)/2018</t>
  </si>
  <si>
    <t>IIWBR,  Karnal</t>
  </si>
  <si>
    <t>AICRP on Wheat &amp; Barley, IIWBR, Karnal</t>
  </si>
  <si>
    <t>6(23)/2018</t>
  </si>
  <si>
    <t>Haryana</t>
  </si>
  <si>
    <t>IISS, Maunath Bhanjan</t>
  </si>
  <si>
    <t>6(24)/2018</t>
  </si>
  <si>
    <t>6(26)/2018</t>
  </si>
  <si>
    <t>Chattisgarh</t>
  </si>
  <si>
    <t>NIBSM, Raipur</t>
  </si>
  <si>
    <t>6(27)/2018</t>
  </si>
  <si>
    <t>Jharkahand</t>
  </si>
  <si>
    <t>IIAB, Ranchi</t>
  </si>
  <si>
    <t>6(70)/2018</t>
  </si>
  <si>
    <t xml:space="preserve">Total Crop Sciences </t>
  </si>
  <si>
    <t>6(28)/2018</t>
  </si>
  <si>
    <t>Andhamand  &amp; Nicobar Islands</t>
  </si>
  <si>
    <t>CIARI, Port Blair</t>
  </si>
  <si>
    <t>CIAH, Bikaner</t>
  </si>
  <si>
    <t>AICRP on AZF, CIAH, Bikaner</t>
  </si>
  <si>
    <t>6(29)/2018</t>
  </si>
  <si>
    <t>6(30)/2018</t>
  </si>
  <si>
    <t>CISH, Lucknow</t>
  </si>
  <si>
    <t>6(31)/2018</t>
  </si>
  <si>
    <t>Jammu &amp; Kashmir</t>
  </si>
  <si>
    <t>CITH, Srinagar</t>
  </si>
  <si>
    <t>CPCRI, Kasaragod</t>
  </si>
  <si>
    <t>AICRP on Palms, CPCRI, Kasaragod</t>
  </si>
  <si>
    <t>6(32)/2018</t>
  </si>
  <si>
    <t>Kerala</t>
  </si>
  <si>
    <t>CPRI, Shimla</t>
  </si>
  <si>
    <t>AICRP on Potato, CPRI, Shimla</t>
  </si>
  <si>
    <t>6(33)/2018</t>
  </si>
  <si>
    <t>Himachal Pradesh</t>
  </si>
  <si>
    <t>CTCRI, Thiruvanthapuram</t>
  </si>
  <si>
    <t>AICRP on Tuber Crops, CTCRI, Thiruvanthapuram</t>
  </si>
  <si>
    <t>6(34)/2018</t>
  </si>
  <si>
    <t>IIHR, Bangalore</t>
  </si>
  <si>
    <t>AICRP on Fruit, IIHR, Bangalore</t>
  </si>
  <si>
    <t>6(35)/2018</t>
  </si>
  <si>
    <t>IISR, Calicut</t>
  </si>
  <si>
    <t>AICRP on Spices, IISR, Calicut</t>
  </si>
  <si>
    <t>6(36)/2018</t>
  </si>
  <si>
    <t>IIVR, Varanasi</t>
  </si>
  <si>
    <t>AICRP on Vegetables, IIVR, Varanasi</t>
  </si>
  <si>
    <t>6(37)/2018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</si>
  <si>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</si>
  <si>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</si>
  <si>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</si>
  <si>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</si>
  <si>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</si>
  <si>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6(40)/2018</t>
  </si>
  <si>
    <t>CCRI, Nagpur</t>
  </si>
  <si>
    <t>6(41)/2018</t>
  </si>
  <si>
    <t>NRC For Grapes, Pune</t>
  </si>
  <si>
    <t>DMAPR, Anand</t>
  </si>
  <si>
    <t>AICRP on MAP &amp; Betelvine, DMAPR, Anand</t>
  </si>
  <si>
    <t>6(42)/2018</t>
  </si>
  <si>
    <t>Dte. on Mushroom, Solan</t>
  </si>
  <si>
    <t>AICRP on Mushroom, DMR, Solan</t>
  </si>
  <si>
    <t>6(43)/2018</t>
  </si>
  <si>
    <t>6(44)/2018</t>
  </si>
  <si>
    <t>IIOPR, Pedavegi</t>
  </si>
  <si>
    <t>6(45)/2018</t>
  </si>
  <si>
    <t>Dte. on Onion &amp; Garlic, Pune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</si>
  <si>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</si>
  <si>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</si>
  <si>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</si>
  <si>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</si>
  <si>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</si>
  <si>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</si>
  <si>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</si>
  <si>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</si>
  <si>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6(49)/2018</t>
  </si>
  <si>
    <t>NRC for Pomegranate, Solapur</t>
  </si>
  <si>
    <t>Dte. of Floriculture, Pune</t>
  </si>
  <si>
    <t>AICRP on Floriculture, Dte. of Floriculture, Pune</t>
  </si>
  <si>
    <t>6(50)/2018</t>
  </si>
  <si>
    <t xml:space="preserve">Total HORTICULTURAL SCIENCES </t>
  </si>
  <si>
    <t>6(51)/2018</t>
  </si>
  <si>
    <t>CARI, Izatnagar</t>
  </si>
  <si>
    <t>CIRB, Hissar</t>
  </si>
  <si>
    <t>Network Project on Baffaloes, CIRB, Hissar</t>
  </si>
  <si>
    <t>6(52)/2018</t>
  </si>
  <si>
    <t>CIRG, Makhdoom</t>
  </si>
  <si>
    <t>AICRP on Goats, CIRG, Makhdoom</t>
  </si>
  <si>
    <t>6(53)/2018</t>
  </si>
  <si>
    <t>CSWRI, Avikanagar</t>
  </si>
  <si>
    <t>AICRP on Mega Sheep Seed Project, CSWRI, Avikanagar</t>
  </si>
  <si>
    <t>Network on Sheep Improvement, CSWRI, Avikanagar</t>
  </si>
  <si>
    <t>6(54)/2018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</si>
  <si>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</si>
  <si>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</si>
  <si>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</si>
  <si>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</si>
  <si>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</si>
  <si>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</si>
  <si>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</si>
  <si>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</si>
  <si>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</si>
  <si>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</si>
  <si>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6(56)/2018</t>
  </si>
  <si>
    <t>NIHSAD, Bhopal</t>
  </si>
  <si>
    <t>NBAGR, Karnal</t>
  </si>
  <si>
    <t>Network Project on Animal Genetic Resources, NBAGR, Karnal</t>
  </si>
  <si>
    <t>6(57)/2018</t>
  </si>
  <si>
    <t>6(58)/2018</t>
  </si>
  <si>
    <t>NDRI, Karnal</t>
  </si>
  <si>
    <t>NIANP, Bangalore</t>
  </si>
  <si>
    <t>AICRP ON NPAERP + OP on Methan Emission, NIANP, Bangalore</t>
  </si>
  <si>
    <t>6(59)/2018</t>
  </si>
  <si>
    <t>6(60)/2018</t>
  </si>
  <si>
    <t>NRC on Camel, Bikaner</t>
  </si>
  <si>
    <t>NRC on Equines, Hissar</t>
  </si>
  <si>
    <t>National Centre for  Veterinary Type Culture Collection, NRC on Equines, Hissar</t>
  </si>
  <si>
    <t>6(61)/2018</t>
  </si>
  <si>
    <t>6(62)/2018</t>
  </si>
  <si>
    <t>NRC on Meat, Hyderabad</t>
  </si>
  <si>
    <t>6(63)/2018</t>
  </si>
  <si>
    <t>Nagaland</t>
  </si>
  <si>
    <t>NRC on Mithun</t>
  </si>
  <si>
    <t>NRC on Pig, Guwahati</t>
  </si>
  <si>
    <t>AICRP on Pig, NRC on Pig, Guwahati</t>
  </si>
  <si>
    <t>Mega seed on Pig, NRC on Pig, Guwahati</t>
  </si>
  <si>
    <t>6(64)/2018</t>
  </si>
  <si>
    <t>Assam</t>
  </si>
  <si>
    <t>6(65)/2018</t>
  </si>
  <si>
    <t>Arunachal Pradesh</t>
  </si>
  <si>
    <t>NRC on Yak, Dirang</t>
  </si>
  <si>
    <t>6(66)/2018</t>
  </si>
  <si>
    <t>NIVEDI, Bengalore</t>
  </si>
  <si>
    <t>CIRC, Meerut</t>
  </si>
  <si>
    <t>AICRP on Cattle, CIRC, Meerut</t>
  </si>
  <si>
    <t>6(67)/2018</t>
  </si>
  <si>
    <t>6(68)/2018</t>
  </si>
  <si>
    <t>Uttarakhand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</si>
  <si>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</si>
  <si>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</si>
  <si>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</si>
  <si>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</si>
  <si>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</si>
  <si>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</si>
  <si>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</si>
  <si>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</si>
  <si>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</si>
  <si>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</si>
  <si>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</si>
  <si>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6(72)/2018</t>
  </si>
  <si>
    <t>IIS &amp; WC (CS &amp; WCR &amp; TI), Dehradun</t>
  </si>
  <si>
    <t>CSSRI, Karnal</t>
  </si>
  <si>
    <t>PCU-SAS, CSSRI, Karnal</t>
  </si>
  <si>
    <t>6(73)/2018</t>
  </si>
  <si>
    <t>6(74)/2018</t>
  </si>
  <si>
    <t>Meghalaya</t>
  </si>
  <si>
    <t>ICAR RC For  NEH Region.,Barapani</t>
  </si>
  <si>
    <t>6(75)/2018</t>
  </si>
  <si>
    <t>ICAR Res. Complex for Eastern Region, Patna</t>
  </si>
  <si>
    <t>6(76)/2018</t>
  </si>
  <si>
    <t>Goa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</si>
  <si>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</si>
  <si>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</si>
  <si>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</si>
  <si>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</si>
  <si>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</si>
  <si>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</si>
  <si>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</si>
  <si>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</si>
  <si>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6(78)/2018</t>
  </si>
  <si>
    <t>NBSS &amp; LUP, Nagpur</t>
  </si>
  <si>
    <t>CARI,Jhansi</t>
  </si>
  <si>
    <t>AICRP on Agroforestry, CARI, Jhansi</t>
  </si>
  <si>
    <t>6(79)/2018</t>
  </si>
  <si>
    <t>IIWM, Bhubaneshwar</t>
  </si>
  <si>
    <t>AICRP on IWM,  IIWM, Bhubaneshwar</t>
  </si>
  <si>
    <t>CRP on Water, IIWM, Bhubaneshwar</t>
  </si>
  <si>
    <t>6(80)/2018</t>
  </si>
  <si>
    <t>6(81)/2018</t>
  </si>
  <si>
    <t>Dte. Of Weed Research, Jabalpur</t>
  </si>
  <si>
    <t>AICRP on Weed Management, DWR, Jabalpur</t>
  </si>
  <si>
    <t>6(82)/2018</t>
  </si>
  <si>
    <t>IIFSR, Modipuram</t>
  </si>
  <si>
    <t>AICRP on Integragted Farming System, IIFSR, Modipuram</t>
  </si>
  <si>
    <t>Network Project on Organic Farming, IIFSR, Modipuram</t>
  </si>
  <si>
    <t>6(83)/2018</t>
  </si>
  <si>
    <t>6(84)/2018</t>
  </si>
  <si>
    <t>NIASM, Baramati</t>
  </si>
  <si>
    <t>TOTAL NRM DIVISION</t>
  </si>
  <si>
    <t>NICRA,  Hyderabad</t>
  </si>
  <si>
    <t>6(85)/2018</t>
  </si>
  <si>
    <t>TOTAL CRAI/NICRA</t>
  </si>
  <si>
    <t>CIBA, Chennai</t>
  </si>
  <si>
    <t>AINP on Fish Health,  CIBA, Chennai</t>
  </si>
  <si>
    <t>6(86)/2018</t>
  </si>
  <si>
    <t>6(87)/2018</t>
  </si>
  <si>
    <t>CIFRI, Barrackpore</t>
  </si>
  <si>
    <t>6(88)/2018</t>
  </si>
  <si>
    <t>CIFA, Bhubaneshwar</t>
  </si>
  <si>
    <t>6(89)/2018</t>
  </si>
  <si>
    <t>CIFE, Mumbai</t>
  </si>
  <si>
    <t>6(90)/2018</t>
  </si>
  <si>
    <t>CIFT, Kochi</t>
  </si>
  <si>
    <t>CMFRI, Kochi</t>
  </si>
  <si>
    <t xml:space="preserve"> ANIP Mericulture, CMFRI, Kochi</t>
  </si>
  <si>
    <t>6(91)/2018</t>
  </si>
  <si>
    <t xml:space="preserve">NBFGR, Lucknow </t>
  </si>
  <si>
    <t xml:space="preserve">CRP Genomics, NBFGR, Lucknow </t>
  </si>
  <si>
    <t>6(92)/2018</t>
  </si>
  <si>
    <t>6(93)/2018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</si>
  <si>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</si>
  <si>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</si>
  <si>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</si>
  <si>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</si>
  <si>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</si>
  <si>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</si>
  <si>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</si>
  <si>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</si>
  <si>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</si>
  <si>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</si>
  <si>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</si>
  <si>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</si>
  <si>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</si>
  <si>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</si>
  <si>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</si>
  <si>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 xml:space="preserve">CIRCOT, Mumbai </t>
  </si>
  <si>
    <t>CRP on Natural Fibres, CIRCOT, Mumbai</t>
  </si>
  <si>
    <t>6(96)/2018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</si>
  <si>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</si>
  <si>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</si>
  <si>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</si>
  <si>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</si>
  <si>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</si>
  <si>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6(98)/2018</t>
  </si>
  <si>
    <t xml:space="preserve">NIRJAFT, Kolkata </t>
  </si>
  <si>
    <t>TOTAL AGRICULTURAL ENGINEERING</t>
  </si>
  <si>
    <t>6(99)/2018</t>
  </si>
  <si>
    <t>IASRI including CABin, New Delhi</t>
  </si>
  <si>
    <t>6(100)/2018</t>
  </si>
  <si>
    <t>NIAP &amp; PR, New Delhi</t>
  </si>
  <si>
    <t>TOTAL ECO. STATISTICS &amp;MANAGEMENT</t>
  </si>
  <si>
    <t>6(101)/2018</t>
  </si>
  <si>
    <t>NAARM, Hyderabad</t>
  </si>
  <si>
    <t xml:space="preserve">CIWA, Bhubaneshwar </t>
  </si>
  <si>
    <t>AICRP on Home Science, CIWA, Bhubaneshwar</t>
  </si>
  <si>
    <t>6(103)/2018</t>
  </si>
  <si>
    <t>6(102)/2018</t>
  </si>
  <si>
    <t>Agricultural Education</t>
  </si>
  <si>
    <t>TOTAL AG. EDUCATION DIVISION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</si>
  <si>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</si>
  <si>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</si>
  <si>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</si>
  <si>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</si>
  <si>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</si>
  <si>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</si>
  <si>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</si>
  <si>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</si>
  <si>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</si>
  <si>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</si>
  <si>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</si>
  <si>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</si>
  <si>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</si>
  <si>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</si>
  <si>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</si>
  <si>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6(107)/2018</t>
  </si>
  <si>
    <t>NAIF, New Delhi</t>
  </si>
  <si>
    <t>TOTAL ICAR HQRS.</t>
  </si>
  <si>
    <t>6(108)/2018</t>
  </si>
  <si>
    <t>NASF</t>
  </si>
  <si>
    <t xml:space="preserve">TOTAL NASF </t>
  </si>
  <si>
    <t>6(109)/2018</t>
  </si>
  <si>
    <t xml:space="preserve">DKMA, New Delhi </t>
  </si>
  <si>
    <t>6(110)/2018</t>
  </si>
  <si>
    <t>ATARI ZONE-I, Ludhiana</t>
  </si>
  <si>
    <t>6(111)/2018</t>
  </si>
  <si>
    <t>ATARI ZONE-II, Jodhpur</t>
  </si>
  <si>
    <t>6(112)/2018</t>
  </si>
  <si>
    <t>ATARI ZONE-III, Kanpur</t>
  </si>
  <si>
    <t>6(113)/2018</t>
  </si>
  <si>
    <t>ATARI ZONE-IV, Patna</t>
  </si>
  <si>
    <t>6(114)/2018</t>
  </si>
  <si>
    <t>ATARI ZONE-V, Kolkata</t>
  </si>
  <si>
    <t>6(115)/2018</t>
  </si>
  <si>
    <t>ATARI ZONE-VI, Guwahati</t>
  </si>
  <si>
    <t>6(116)/2018</t>
  </si>
  <si>
    <t>ATARI ZONE-VII, Barapani</t>
  </si>
  <si>
    <t>6(117)/2018</t>
  </si>
  <si>
    <t>ATARI ZONE-VIII, Pune</t>
  </si>
  <si>
    <t>6(118)/2018</t>
  </si>
  <si>
    <t>ATARI ZONE-IX, Jabalpur</t>
  </si>
  <si>
    <t>6(119)/2018</t>
  </si>
  <si>
    <t>ATARI ZONE-X, Hyderabad</t>
  </si>
  <si>
    <t>6(120)/2018</t>
  </si>
  <si>
    <t>ATARI ZONE-XI, Bengalore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</si>
  <si>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</si>
  <si>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</si>
  <si>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</si>
  <si>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</si>
  <si>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</si>
  <si>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</si>
  <si>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6(124)/2018</t>
  </si>
  <si>
    <t>NAHEP (EAP)</t>
  </si>
  <si>
    <t>GRAND TOTAL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</si>
  <si>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</si>
  <si>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</si>
  <si>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</si>
  <si>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</si>
  <si>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</si>
  <si>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</si>
  <si>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</si>
  <si>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</si>
  <si>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</si>
  <si>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</si>
  <si>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</si>
  <si>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Salary</t>
  </si>
  <si>
    <t>NRC on Integrated Farming, Motihari (MGIFRI)</t>
  </si>
  <si>
    <t>(RS IN LAKH)</t>
  </si>
  <si>
    <t>10% INCREASE</t>
  </si>
  <si>
    <t>ONE MONTH BILL</t>
  </si>
  <si>
    <t>bill apr-june columns linked</t>
  </si>
  <si>
    <t xml:space="preserve">drawal </t>
  </si>
  <si>
    <t>march paid in april 2022</t>
  </si>
  <si>
    <t>RE/12*3</t>
  </si>
  <si>
    <t>BALANCE LEFT</t>
  </si>
  <si>
    <t>additional for 1st quarter</t>
  </si>
  <si>
    <t>BE 2022-23 (in budget circular)</t>
  </si>
  <si>
    <t xml:space="preserve">for 12 months as pr </t>
  </si>
  <si>
    <t>DRAFT BE 2022-23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</si>
</sst>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5" borderId="1" xfId="0" applyNumberFormat="1" applyFont="1" applyFill="1" applyBorder="1" applyAlignment="1">
      <alignment vertical="top"/>
    </xf>
    <xf numFmtId="2" fontId="0" fillId="6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>
      <alignment vertical="top"/>
    </xf>
    <xf numFmtId="2" fontId="0" fillId="7" borderId="1" xfId="0" applyNumberFormat="1" applyFont="1" applyFill="1" applyBorder="1" applyAlignment="1">
      <alignment vertical="top"/>
    </xf>
    <xf numFmtId="2" fontId="2" fillId="6" borderId="1" xfId="0" applyNumberFormat="1" applyFont="1" applyFill="1" applyBorder="1" applyAlignment="1"/>
    <xf numFmtId="2" fontId="1" fillId="7" borderId="1" xfId="0" applyNumberFormat="1" applyFont="1" applyFill="1" applyBorder="1" applyAlignment="1">
      <alignment vertical="top"/>
    </xf>
    <xf numFmtId="2" fontId="1" fillId="5" borderId="1" xfId="0" applyNumberFormat="1" applyFont="1" applyFill="1" applyBorder="1" applyAlignment="1" applyProtection="1">
      <alignment horizontal="left" vertical="top"/>
    </xf>
    <xf numFmtId="2" fontId="1" fillId="4" borderId="1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0" applyFont="1"/>
    <xf numFmtId="2" fontId="1" fillId="5" borderId="4" xfId="0" applyNumberFormat="1" applyFont="1" applyFill="1" applyBorder="1" applyAlignment="1">
      <alignment vertical="top"/>
    </xf>
    <xf numFmtId="0" fontId="0" fillId="2" borderId="0" xfId="0" applyFill="1"/>
    <xf numFmtId="2" fontId="0" fillId="6" borderId="4" xfId="0" applyNumberFormat="1" applyFont="1" applyFill="1" applyBorder="1" applyAlignment="1">
      <alignment vertical="top"/>
    </xf>
    <xf numFmtId="2" fontId="1" fillId="6" borderId="4" xfId="0" applyNumberFormat="1" applyFont="1" applyFill="1" applyBorder="1" applyAlignment="1">
      <alignment vertical="top"/>
    </xf>
    <xf numFmtId="2" fontId="1" fillId="7" borderId="4" xfId="0" applyNumberFormat="1" applyFont="1" applyFill="1" applyBorder="1" applyAlignment="1">
      <alignment vertical="top"/>
    </xf>
    <xf numFmtId="2" fontId="0" fillId="7" borderId="4" xfId="0" applyNumberFormat="1" applyFont="1" applyFill="1" applyBorder="1" applyAlignment="1">
      <alignment vertical="top"/>
    </xf>
    <xf numFmtId="2" fontId="2" fillId="6" borderId="4" xfId="0" applyNumberFormat="1" applyFont="1" applyFill="1" applyBorder="1" applyAlignment="1"/>
    <xf numFmtId="2" fontId="1" fillId="5" borderId="4" xfId="0" applyNumberFormat="1" applyFont="1" applyFill="1" applyBorder="1" applyAlignment="1" applyProtection="1">
      <alignment horizontal="left" vertical="top"/>
    </xf>
    <xf numFmtId="2" fontId="0" fillId="8" borderId="1" xfId="0" applyNumberFormat="1" applyFill="1" applyBorder="1"/>
    <xf numFmtId="2" fontId="1" fillId="4" borderId="2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/>
    <xf numFmtId="2" fontId="4" fillId="8" borderId="1" xfId="0" applyNumberFormat="1" applyFont="1" applyFill="1" applyBorder="1"/>
    <xf numFmtId="2" fontId="4" fillId="2" borderId="1" xfId="0" applyNumberFormat="1" applyFont="1" applyFill="1" applyBorder="1"/>
    <xf numFmtId="9" fontId="0" fillId="0" borderId="0" xfId="0" applyNumberFormat="1"/>
    <xf numFmtId="0" fontId="0" fillId="8" borderId="0" xfId="0" applyFill="1"/>
    <xf numFmtId="2" fontId="0" fillId="8" borderId="5" xfId="0" applyNumberFormat="1" applyFill="1" applyBorder="1"/>
    <xf numFmtId="0" fontId="4" fillId="0" borderId="0" xfId="0" applyFont="1"/>
    <xf numFmtId="0" fontId="6" fillId="0" borderId="0" xfId="0" applyFont="1"/>
    <xf numFmtId="0" fontId="6" fillId="10" borderId="0" xfId="0" applyFont="1" applyFill="1"/>
    <xf numFmtId="0" fontId="0" fillId="10" borderId="0" xfId="0" applyFill="1"/>
    <xf numFmtId="0" fontId="0" fillId="8" borderId="0" xfId="0" applyFont="1" applyFill="1"/>
    <xf numFmtId="2" fontId="3" fillId="3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2" fontId="7" fillId="3" borderId="1" xfId="0" applyNumberFormat="1" applyFont="1" applyFill="1" applyBorder="1" applyAlignment="1"/>
    <xf numFmtId="2" fontId="3" fillId="3" borderId="1" xfId="0" applyNumberFormat="1" applyFont="1" applyFill="1" applyBorder="1" applyAlignment="1" applyProtection="1">
      <alignment horizontal="left" vertical="top"/>
    </xf>
    <xf numFmtId="0" fontId="5" fillId="3" borderId="0" xfId="0" applyFont="1" applyFill="1" applyBorder="1" applyAlignment="1">
      <alignment vertical="top"/>
    </xf>
    <xf numFmtId="2" fontId="3" fillId="3" borderId="3" xfId="0" applyNumberFormat="1" applyFont="1" applyFill="1" applyBorder="1" applyAlignment="1"/>
    <xf numFmtId="2" fontId="3" fillId="3" borderId="1" xfId="0" applyNumberFormat="1" applyFont="1" applyFill="1" applyBorder="1" applyAlignment="1"/>
    <xf numFmtId="0" fontId="8" fillId="3" borderId="1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 applyProtection="1">
      <alignment horizontal="center" vertical="top"/>
    </xf>
    <xf numFmtId="0" fontId="10" fillId="3" borderId="4" xfId="0" applyNumberFormat="1" applyFont="1" applyFill="1" applyBorder="1" applyAlignment="1" applyProtection="1">
      <alignment horizontal="center" vertical="top"/>
    </xf>
    <xf numFmtId="2" fontId="11" fillId="3" borderId="1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top"/>
    </xf>
    <xf numFmtId="0" fontId="9" fillId="3" borderId="4" xfId="0" applyNumberFormat="1" applyFont="1" applyFill="1" applyBorder="1" applyAlignment="1" applyProtection="1">
      <alignment horizontal="center" vertical="top"/>
    </xf>
    <xf numFmtId="2" fontId="12" fillId="9" borderId="1" xfId="0" applyNumberFormat="1" applyFont="1" applyFill="1" applyBorder="1" applyAlignment="1">
      <alignment horizontal="left" vertical="top" wrapText="1"/>
    </xf>
    <xf numFmtId="2" fontId="13" fillId="9" borderId="1" xfId="0" applyNumberFormat="1" applyFont="1" applyFill="1" applyBorder="1" applyAlignment="1">
      <alignment horizontal="left" vertical="top" wrapText="1"/>
    </xf>
    <xf numFmtId="2" fontId="9" fillId="3" borderId="4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5" fillId="3" borderId="4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0"/>
  <sheetViews>
    <sheetView tabSelected="1" view="pageBreakPreview" zoomScaleNormal="80" zoomScaleSheetLayoutView="100" workbookViewId="0">
      <pane xSplit="4" ySplit="4" topLeftCell="U77" activePane="bottomRight" state="frozen"/>
      <selection pane="topRight" activeCell="E1" sqref="E1"/>
      <selection pane="bottomLeft" activeCell="A5" sqref="A5"/>
      <selection pane="bottomRight" activeCell="V37" sqref="V37"/>
    </sheetView>
  </sheetViews>
  <sheetFormatPr defaultRowHeight="15"/>
  <cols>
    <col min="1" max="1" width="9.28515625" style="55" bestFit="1" customWidth="1"/>
    <col min="2" max="2" width="15.85546875" style="55" hidden="1" customWidth="1"/>
    <col min="3" max="3" width="21.5703125" style="56" hidden="1" customWidth="1"/>
    <col min="4" max="4" width="49.7109375" style="57" customWidth="1"/>
    <col min="5" max="5" width="10" hidden="1" customWidth="1"/>
    <col min="6" max="6" width="12.42578125" hidden="1" customWidth="1"/>
    <col min="7" max="7" width="0" hidden="1" customWidth="1"/>
    <col min="8" max="10" width="9.28515625" hidden="1" customWidth="1"/>
    <col min="11" max="12" width="9.28515625" style="10" hidden="1" customWidth="1"/>
    <col min="13" max="13" width="10" style="10" hidden="1" customWidth="1"/>
    <col min="14" max="16" width="9.28515625" style="10" hidden="1" customWidth="1"/>
    <col min="17" max="17" width="10.5703125" hidden="1" customWidth="1"/>
    <col min="18" max="18" width="10" hidden="1" customWidth="1"/>
    <col min="19" max="19" width="10.7109375" hidden="1" customWidth="1"/>
    <col min="20" max="20" width="9.5703125" hidden="1" customWidth="1"/>
    <col min="21" max="21" width="9.85546875" customWidth="1"/>
    <col min="22" max="22" width="11.140625" customWidth="1"/>
  </cols>
  <sheetData>
    <row r="1" spans="1:22" ht="8.25" customHeight="1">
      <c r="A1" s="38"/>
      <c r="B1" s="39"/>
      <c r="C1" s="39"/>
      <c r="D1" s="40" t="s">
        <v>1</v>
      </c>
    </row>
    <row r="2" spans="1:22" ht="28.5" customHeight="1">
      <c r="A2" s="41"/>
      <c r="B2" s="41"/>
      <c r="C2" s="42"/>
      <c r="D2" s="43"/>
      <c r="G2" s="63" t="s">
        <v>407</v>
      </c>
      <c r="H2" s="63"/>
      <c r="V2" t="s">
        <v>402</v>
      </c>
    </row>
    <row r="3" spans="1:22" ht="37.5" customHeight="1">
      <c r="A3" s="41"/>
      <c r="B3" s="41"/>
      <c r="C3" s="42"/>
      <c r="D3" s="43"/>
      <c r="E3" t="s">
        <v>403</v>
      </c>
      <c r="F3" s="26">
        <v>0.15</v>
      </c>
      <c r="G3" s="12" t="s">
        <v>404</v>
      </c>
      <c r="H3" s="12"/>
      <c r="I3" s="61" t="s">
        <v>408</v>
      </c>
      <c r="J3" s="62"/>
      <c r="M3" s="59" t="s">
        <v>405</v>
      </c>
      <c r="N3" s="60"/>
      <c r="O3" s="59" t="s">
        <v>410</v>
      </c>
      <c r="P3" s="60"/>
      <c r="Q3" s="64" t="s">
        <v>411</v>
      </c>
      <c r="R3" s="65"/>
      <c r="S3" s="65" t="s">
        <v>412</v>
      </c>
      <c r="T3" s="65"/>
      <c r="U3" s="58" t="s">
        <v>413</v>
      </c>
      <c r="V3" s="58"/>
    </row>
    <row r="4" spans="1:22" ht="15.75">
      <c r="A4" s="44" t="s">
        <v>2</v>
      </c>
      <c r="B4" s="44" t="s">
        <v>3</v>
      </c>
      <c r="C4" s="45" t="s">
        <v>4</v>
      </c>
      <c r="D4" s="46" t="s">
        <v>5</v>
      </c>
      <c r="E4" s="22" t="s">
        <v>400</v>
      </c>
      <c r="F4" s="22" t="s">
        <v>0</v>
      </c>
      <c r="G4" s="22" t="s">
        <v>400</v>
      </c>
      <c r="H4" s="22" t="s">
        <v>0</v>
      </c>
      <c r="I4" s="22" t="s">
        <v>400</v>
      </c>
      <c r="J4" s="22" t="s">
        <v>0</v>
      </c>
      <c r="K4" s="8"/>
      <c r="L4" s="8"/>
      <c r="M4" s="8" t="s">
        <v>400</v>
      </c>
      <c r="N4" s="8" t="s">
        <v>0</v>
      </c>
      <c r="O4" s="8" t="s">
        <v>400</v>
      </c>
      <c r="P4" s="8" t="s">
        <v>0</v>
      </c>
      <c r="Q4" s="22" t="s">
        <v>400</v>
      </c>
      <c r="R4" s="22" t="s">
        <v>0</v>
      </c>
      <c r="S4" s="22" t="s">
        <v>400</v>
      </c>
      <c r="T4" s="22" t="s">
        <v>0</v>
      </c>
      <c r="U4" s="22" t="s">
        <v>400</v>
      </c>
      <c r="V4" s="22" t="s">
        <v>0</v>
      </c>
    </row>
    <row r="5" spans="1:22" ht="18.75">
      <c r="A5" s="47">
        <v>1</v>
      </c>
      <c r="B5" s="47"/>
      <c r="C5" s="48"/>
      <c r="D5" s="49" t="s">
        <v>6</v>
      </c>
      <c r="E5">
        <v>3147.93</v>
      </c>
      <c r="F5">
        <v>662.26</v>
      </c>
      <c r="G5">
        <v>262</v>
      </c>
      <c r="H5">
        <v>55</v>
      </c>
      <c r="I5" t="e">
        <f>ROUND(#REF!/12*3,2)</f>
        <v>#REF!</v>
      </c>
      <c r="J5" t="e">
        <f>ROUND(#REF!/12*3,2)</f>
        <v>#REF!</v>
      </c>
      <c r="M5" s="24">
        <f>800-25</f>
        <v>775</v>
      </c>
      <c r="N5" s="24">
        <f>300-150</f>
        <v>150</v>
      </c>
      <c r="O5" s="24"/>
      <c r="P5" s="24"/>
      <c r="Q5">
        <v>2872</v>
      </c>
      <c r="R5">
        <v>660</v>
      </c>
      <c r="S5">
        <f>ROUND(M5/3*12,2)</f>
        <v>3100</v>
      </c>
      <c r="T5">
        <f>ROUND(N5/3*12,2)</f>
        <v>600</v>
      </c>
      <c r="U5" s="23">
        <f>IF(Q5&lt;S5,Q5,S5)</f>
        <v>2872</v>
      </c>
      <c r="V5" s="23">
        <f>IF(R5&lt;T5,R5,T5)+60</f>
        <v>660</v>
      </c>
    </row>
    <row r="6" spans="1:22" ht="18.75">
      <c r="A6" s="47">
        <v>2</v>
      </c>
      <c r="B6" s="47"/>
      <c r="C6" s="48"/>
      <c r="D6" s="49" t="s">
        <v>7</v>
      </c>
      <c r="E6">
        <v>1328.05</v>
      </c>
      <c r="F6">
        <v>0</v>
      </c>
      <c r="G6">
        <v>111</v>
      </c>
      <c r="H6">
        <v>0</v>
      </c>
      <c r="I6" t="e">
        <f>ROUND(#REF!/12*3,2)</f>
        <v>#REF!</v>
      </c>
      <c r="J6" t="e">
        <f>ROUND(#REF!/12*3,2)</f>
        <v>#REF!</v>
      </c>
      <c r="M6" s="21">
        <v>330</v>
      </c>
      <c r="N6" s="21">
        <v>0</v>
      </c>
      <c r="O6" s="21"/>
      <c r="P6" s="21"/>
      <c r="Q6">
        <v>1306.17</v>
      </c>
      <c r="S6">
        <f>ROUND(M6/3*12,2)</f>
        <v>1320</v>
      </c>
      <c r="T6">
        <f>ROUND(N6/3*12,2)</f>
        <v>0</v>
      </c>
      <c r="U6" s="23">
        <f t="shared" ref="U6:U69" si="0">IF(Q6&lt;S6,Q6,S6)</f>
        <v>1306.17</v>
      </c>
      <c r="V6" s="23">
        <f t="shared" ref="V6:V69" si="1">IF(R6&lt;T6,R6,T6)</f>
        <v>0</v>
      </c>
    </row>
    <row r="7" spans="1:22" ht="18.75">
      <c r="A7" s="50"/>
      <c r="B7" s="50" t="s">
        <v>8</v>
      </c>
      <c r="C7" s="51" t="s">
        <v>9</v>
      </c>
      <c r="D7" s="43" t="s">
        <v>6</v>
      </c>
      <c r="E7" s="1">
        <f t="shared" ref="E7:S7" si="2">+E5+E6</f>
        <v>4475.9799999999996</v>
      </c>
      <c r="F7" s="1">
        <f t="shared" si="2"/>
        <v>662.26</v>
      </c>
      <c r="G7" s="1">
        <f t="shared" si="2"/>
        <v>373</v>
      </c>
      <c r="H7" s="1">
        <f t="shared" si="2"/>
        <v>55</v>
      </c>
      <c r="I7" s="1" t="e">
        <f t="shared" si="2"/>
        <v>#REF!</v>
      </c>
      <c r="J7" s="13" t="e">
        <f t="shared" si="2"/>
        <v>#REF!</v>
      </c>
      <c r="K7" s="1">
        <f t="shared" si="2"/>
        <v>0</v>
      </c>
      <c r="L7" s="1">
        <f t="shared" si="2"/>
        <v>0</v>
      </c>
      <c r="M7" s="1">
        <f t="shared" si="2"/>
        <v>1105</v>
      </c>
      <c r="N7" s="1">
        <f t="shared" si="2"/>
        <v>150</v>
      </c>
      <c r="O7" s="1"/>
      <c r="P7" s="1"/>
      <c r="Q7" s="1">
        <f t="shared" si="2"/>
        <v>4178.17</v>
      </c>
      <c r="R7" s="1">
        <f t="shared" si="2"/>
        <v>660</v>
      </c>
      <c r="S7" s="1">
        <f t="shared" si="2"/>
        <v>4420</v>
      </c>
      <c r="T7" s="13">
        <f t="shared" ref="T7:V7" si="3">+T5+T6</f>
        <v>600</v>
      </c>
      <c r="U7" s="34">
        <f t="shared" si="3"/>
        <v>4178.17</v>
      </c>
      <c r="V7" s="34">
        <f t="shared" si="3"/>
        <v>660</v>
      </c>
    </row>
    <row r="8" spans="1:22" ht="18.75">
      <c r="A8" s="47">
        <v>3</v>
      </c>
      <c r="B8" s="47"/>
      <c r="C8" s="48"/>
      <c r="D8" s="49" t="s">
        <v>10</v>
      </c>
      <c r="E8">
        <v>2475</v>
      </c>
      <c r="F8">
        <v>425.5</v>
      </c>
      <c r="G8">
        <v>206</v>
      </c>
      <c r="H8">
        <v>35</v>
      </c>
      <c r="I8" t="e">
        <f>ROUND(#REF!/12*3,2)</f>
        <v>#REF!</v>
      </c>
      <c r="J8" t="e">
        <f>ROUND(#REF!/12*3,2)</f>
        <v>#REF!</v>
      </c>
      <c r="M8" s="24">
        <f>725-65</f>
        <v>660</v>
      </c>
      <c r="N8" s="21">
        <v>45</v>
      </c>
      <c r="O8" s="21"/>
      <c r="P8" s="21"/>
      <c r="Q8">
        <v>2407.1999999999998</v>
      </c>
      <c r="R8">
        <v>325</v>
      </c>
      <c r="S8">
        <f>ROUND(M8/3*12,2)</f>
        <v>2640</v>
      </c>
      <c r="T8">
        <f>ROUND(N8/3*12,2)</f>
        <v>180</v>
      </c>
      <c r="U8" s="23">
        <f t="shared" si="0"/>
        <v>2407.1999999999998</v>
      </c>
      <c r="V8" s="23">
        <f t="shared" si="1"/>
        <v>180</v>
      </c>
    </row>
    <row r="9" spans="1:22" ht="18.75">
      <c r="A9" s="47">
        <v>4</v>
      </c>
      <c r="B9" s="47"/>
      <c r="C9" s="48"/>
      <c r="D9" s="49" t="s">
        <v>11</v>
      </c>
      <c r="E9">
        <v>429</v>
      </c>
      <c r="F9">
        <v>0</v>
      </c>
      <c r="G9">
        <v>36</v>
      </c>
      <c r="H9">
        <v>0</v>
      </c>
      <c r="I9" t="e">
        <f>ROUND(#REF!/12*3,2)</f>
        <v>#REF!</v>
      </c>
      <c r="J9" t="e">
        <f>ROUND(#REF!/12*3,2)</f>
        <v>#REF!</v>
      </c>
      <c r="M9" s="21">
        <v>105</v>
      </c>
      <c r="N9" s="21">
        <v>0</v>
      </c>
      <c r="O9" s="21"/>
      <c r="P9" s="21"/>
      <c r="Q9">
        <v>591.87</v>
      </c>
      <c r="S9">
        <f>ROUND(M9/3*12,2)</f>
        <v>420</v>
      </c>
      <c r="T9">
        <f>ROUND(N9/3*12,2)</f>
        <v>0</v>
      </c>
      <c r="U9" s="23">
        <f t="shared" si="0"/>
        <v>420</v>
      </c>
      <c r="V9" s="23">
        <f t="shared" si="1"/>
        <v>0</v>
      </c>
    </row>
    <row r="10" spans="1:22" ht="18.75">
      <c r="A10" s="50"/>
      <c r="B10" s="50" t="s">
        <v>12</v>
      </c>
      <c r="C10" s="51" t="s">
        <v>13</v>
      </c>
      <c r="D10" s="43" t="s">
        <v>10</v>
      </c>
      <c r="E10" s="1">
        <f t="shared" ref="E10:R10" si="4">+E8+E9</f>
        <v>2904</v>
      </c>
      <c r="F10" s="1">
        <f t="shared" si="4"/>
        <v>425.5</v>
      </c>
      <c r="G10" s="1">
        <f t="shared" si="4"/>
        <v>242</v>
      </c>
      <c r="H10" s="1">
        <f t="shared" si="4"/>
        <v>35</v>
      </c>
      <c r="I10" s="1" t="e">
        <f t="shared" si="4"/>
        <v>#REF!</v>
      </c>
      <c r="J10" s="13" t="e">
        <f t="shared" si="4"/>
        <v>#REF!</v>
      </c>
      <c r="K10" s="1">
        <f t="shared" si="4"/>
        <v>0</v>
      </c>
      <c r="L10" s="1">
        <f t="shared" si="4"/>
        <v>0</v>
      </c>
      <c r="M10" s="1">
        <f t="shared" si="4"/>
        <v>765</v>
      </c>
      <c r="N10" s="1">
        <f t="shared" si="4"/>
        <v>45</v>
      </c>
      <c r="O10" s="1"/>
      <c r="P10" s="1"/>
      <c r="Q10" s="1">
        <f t="shared" si="4"/>
        <v>2999.0699999999997</v>
      </c>
      <c r="R10" s="1">
        <f t="shared" si="4"/>
        <v>325</v>
      </c>
      <c r="S10" s="1">
        <f t="shared" ref="S10:V10" si="5">+S8+S9</f>
        <v>3060</v>
      </c>
      <c r="T10" s="13">
        <f t="shared" si="5"/>
        <v>180</v>
      </c>
      <c r="U10" s="34">
        <f t="shared" si="5"/>
        <v>2827.2</v>
      </c>
      <c r="V10" s="34">
        <f t="shared" si="5"/>
        <v>180</v>
      </c>
    </row>
    <row r="11" spans="1:22" ht="18.75">
      <c r="A11" s="47">
        <v>5</v>
      </c>
      <c r="B11" s="47"/>
      <c r="C11" s="48"/>
      <c r="D11" s="49" t="s">
        <v>14</v>
      </c>
      <c r="E11">
        <v>4075.5</v>
      </c>
      <c r="F11">
        <v>5425.57</v>
      </c>
      <c r="G11">
        <v>340</v>
      </c>
      <c r="H11">
        <v>452</v>
      </c>
      <c r="I11" t="e">
        <f>ROUND(#REF!/12*3,2)</f>
        <v>#REF!</v>
      </c>
      <c r="J11" t="e">
        <f>ROUND(#REF!/12*3,2)</f>
        <v>#REF!</v>
      </c>
      <c r="M11" s="24">
        <f>1050-25</f>
        <v>1025</v>
      </c>
      <c r="N11" s="24">
        <f>1550-250</f>
        <v>1300</v>
      </c>
      <c r="O11" s="24"/>
      <c r="P11" s="24"/>
      <c r="Q11">
        <v>4000</v>
      </c>
      <c r="R11">
        <v>4600</v>
      </c>
      <c r="S11">
        <f>ROUND(M11/3*12,2)</f>
        <v>4100</v>
      </c>
      <c r="T11">
        <f>ROUND(N11/3*12,2)</f>
        <v>5200</v>
      </c>
      <c r="U11" s="23">
        <f t="shared" si="0"/>
        <v>4000</v>
      </c>
      <c r="V11" s="23">
        <f t="shared" si="1"/>
        <v>4600</v>
      </c>
    </row>
    <row r="12" spans="1:22" ht="37.5">
      <c r="A12" s="47">
        <v>6</v>
      </c>
      <c r="B12" s="47"/>
      <c r="C12" s="48"/>
      <c r="D12" s="49" t="s">
        <v>15</v>
      </c>
      <c r="E12">
        <v>0</v>
      </c>
      <c r="F12">
        <v>0</v>
      </c>
      <c r="G12">
        <v>0</v>
      </c>
      <c r="H12">
        <v>0</v>
      </c>
      <c r="I12" t="e">
        <f>ROUND(#REF!/12*3,2)</f>
        <v>#REF!</v>
      </c>
      <c r="J12" t="e">
        <f>ROUND(#REF!/12*3,2)</f>
        <v>#REF!</v>
      </c>
      <c r="M12" s="21">
        <v>0</v>
      </c>
      <c r="N12" s="21">
        <v>0</v>
      </c>
      <c r="O12" s="21"/>
      <c r="P12" s="21"/>
      <c r="Q12">
        <v>0</v>
      </c>
      <c r="R12">
        <v>0</v>
      </c>
      <c r="S12">
        <f>ROUND(M12/3*12,2)</f>
        <v>0</v>
      </c>
      <c r="T12">
        <f>ROUND(N12/3*12,2)</f>
        <v>0</v>
      </c>
      <c r="U12" s="23">
        <f t="shared" si="0"/>
        <v>0</v>
      </c>
      <c r="V12" s="23">
        <f t="shared" si="1"/>
        <v>0</v>
      </c>
    </row>
    <row r="13" spans="1:22" ht="18.75">
      <c r="A13" s="50"/>
      <c r="B13" s="50" t="s">
        <v>16</v>
      </c>
      <c r="C13" s="51" t="s">
        <v>17</v>
      </c>
      <c r="D13" s="43" t="s">
        <v>14</v>
      </c>
      <c r="E13" s="2">
        <f t="shared" ref="E13:R13" si="6">+E11+E12</f>
        <v>4075.5</v>
      </c>
      <c r="F13" s="2">
        <f t="shared" si="6"/>
        <v>5425.57</v>
      </c>
      <c r="G13" s="2">
        <f t="shared" si="6"/>
        <v>340</v>
      </c>
      <c r="H13" s="2">
        <f t="shared" si="6"/>
        <v>452</v>
      </c>
      <c r="I13" s="2" t="e">
        <f t="shared" si="6"/>
        <v>#REF!</v>
      </c>
      <c r="J13" s="15" t="e">
        <f t="shared" si="6"/>
        <v>#REF!</v>
      </c>
      <c r="K13" s="2">
        <f t="shared" si="6"/>
        <v>0</v>
      </c>
      <c r="L13" s="2">
        <f t="shared" si="6"/>
        <v>0</v>
      </c>
      <c r="M13" s="2">
        <f t="shared" si="6"/>
        <v>1025</v>
      </c>
      <c r="N13" s="2">
        <f t="shared" si="6"/>
        <v>1300</v>
      </c>
      <c r="O13" s="2"/>
      <c r="P13" s="2"/>
      <c r="Q13" s="2">
        <f t="shared" si="6"/>
        <v>4000</v>
      </c>
      <c r="R13" s="2">
        <f t="shared" si="6"/>
        <v>4600</v>
      </c>
      <c r="S13" s="2">
        <f t="shared" ref="S13:V13" si="7">+S11+S12</f>
        <v>4100</v>
      </c>
      <c r="T13" s="15">
        <f t="shared" si="7"/>
        <v>5200</v>
      </c>
      <c r="U13" s="35">
        <f t="shared" si="7"/>
        <v>4000</v>
      </c>
      <c r="V13" s="35">
        <f t="shared" si="7"/>
        <v>4600</v>
      </c>
    </row>
    <row r="14" spans="1:22" ht="18.75">
      <c r="A14" s="47">
        <v>7</v>
      </c>
      <c r="B14" s="47"/>
      <c r="C14" s="48"/>
      <c r="D14" s="49" t="s">
        <v>18</v>
      </c>
      <c r="E14">
        <v>2135.4499999999998</v>
      </c>
      <c r="F14">
        <v>3109.53</v>
      </c>
      <c r="G14">
        <v>178</v>
      </c>
      <c r="H14">
        <v>259</v>
      </c>
      <c r="I14" t="e">
        <f>ROUND(#REF!/12*3,2)</f>
        <v>#REF!</v>
      </c>
      <c r="J14" t="e">
        <f>ROUND(#REF!/12*3,2)</f>
        <v>#REF!</v>
      </c>
      <c r="M14" s="21">
        <v>475</v>
      </c>
      <c r="N14" s="24">
        <f>870-170</f>
        <v>700</v>
      </c>
      <c r="O14" s="24"/>
      <c r="P14" s="24"/>
      <c r="Q14">
        <v>1900</v>
      </c>
      <c r="R14">
        <v>2800</v>
      </c>
      <c r="S14">
        <f>ROUND(M14/3*12,2)</f>
        <v>1900</v>
      </c>
      <c r="T14">
        <f>ROUND(N14/3*12,2)</f>
        <v>2800</v>
      </c>
      <c r="U14" s="23">
        <f t="shared" si="0"/>
        <v>1900</v>
      </c>
      <c r="V14" s="23">
        <f t="shared" si="1"/>
        <v>2800</v>
      </c>
    </row>
    <row r="15" spans="1:22" ht="18.75">
      <c r="A15" s="47">
        <v>8</v>
      </c>
      <c r="B15" s="47"/>
      <c r="C15" s="48"/>
      <c r="D15" s="49" t="s">
        <v>19</v>
      </c>
      <c r="E15">
        <v>306.13</v>
      </c>
      <c r="F15">
        <v>0</v>
      </c>
      <c r="G15">
        <v>26</v>
      </c>
      <c r="H15">
        <v>0</v>
      </c>
      <c r="I15" t="e">
        <f>ROUND(#REF!/12*3,2)</f>
        <v>#REF!</v>
      </c>
      <c r="J15" t="e">
        <f>ROUND(#REF!/12*3,2)</f>
        <v>#REF!</v>
      </c>
      <c r="M15" s="24">
        <f>80-10</f>
        <v>70</v>
      </c>
      <c r="N15" s="21">
        <v>0</v>
      </c>
      <c r="O15" s="21"/>
      <c r="P15" s="21"/>
      <c r="Q15">
        <v>121.42</v>
      </c>
      <c r="S15">
        <f>ROUND(M15/3*12,2)</f>
        <v>280</v>
      </c>
      <c r="T15">
        <f>ROUND(N15/3*12,2)</f>
        <v>0</v>
      </c>
      <c r="U15" s="23">
        <f t="shared" si="0"/>
        <v>121.42</v>
      </c>
      <c r="V15" s="23">
        <f t="shared" si="1"/>
        <v>0</v>
      </c>
    </row>
    <row r="16" spans="1:22" ht="18.75">
      <c r="A16" s="50"/>
      <c r="B16" s="50" t="s">
        <v>20</v>
      </c>
      <c r="C16" s="51" t="s">
        <v>21</v>
      </c>
      <c r="D16" s="43" t="s">
        <v>18</v>
      </c>
      <c r="E16" s="1">
        <f t="shared" ref="E16:R16" si="8">+E14+E15</f>
        <v>2441.58</v>
      </c>
      <c r="F16" s="1">
        <f t="shared" si="8"/>
        <v>3109.53</v>
      </c>
      <c r="G16" s="1">
        <f t="shared" si="8"/>
        <v>204</v>
      </c>
      <c r="H16" s="1">
        <f t="shared" si="8"/>
        <v>259</v>
      </c>
      <c r="I16" s="1" t="e">
        <f t="shared" si="8"/>
        <v>#REF!</v>
      </c>
      <c r="J16" s="13" t="e">
        <f t="shared" si="8"/>
        <v>#REF!</v>
      </c>
      <c r="K16" s="1">
        <f t="shared" si="8"/>
        <v>0</v>
      </c>
      <c r="L16" s="1">
        <f t="shared" si="8"/>
        <v>0</v>
      </c>
      <c r="M16" s="1">
        <f t="shared" si="8"/>
        <v>545</v>
      </c>
      <c r="N16" s="1">
        <f t="shared" si="8"/>
        <v>700</v>
      </c>
      <c r="O16" s="1"/>
      <c r="P16" s="1"/>
      <c r="Q16" s="1">
        <f t="shared" si="8"/>
        <v>2021.42</v>
      </c>
      <c r="R16" s="1">
        <f t="shared" si="8"/>
        <v>2800</v>
      </c>
      <c r="S16" s="1">
        <f t="shared" ref="S16:V16" si="9">+S14+S15</f>
        <v>2180</v>
      </c>
      <c r="T16" s="13">
        <f t="shared" si="9"/>
        <v>2800</v>
      </c>
      <c r="U16" s="34">
        <f t="shared" si="9"/>
        <v>2021.42</v>
      </c>
      <c r="V16" s="34">
        <f t="shared" si="9"/>
        <v>2800</v>
      </c>
    </row>
    <row r="17" spans="1:22" ht="18.75">
      <c r="A17" s="47">
        <v>9</v>
      </c>
      <c r="B17" s="47"/>
      <c r="C17" s="48"/>
      <c r="D17" s="49" t="s">
        <v>22</v>
      </c>
      <c r="E17">
        <v>26772.05</v>
      </c>
      <c r="F17">
        <v>25527.23</v>
      </c>
      <c r="G17">
        <v>2231</v>
      </c>
      <c r="H17">
        <v>2127</v>
      </c>
      <c r="I17" t="e">
        <f>ROUND(#REF!/12*3,2)</f>
        <v>#REF!</v>
      </c>
      <c r="J17" t="e">
        <f>ROUND(#REF!/12*3,2)</f>
        <v>#REF!</v>
      </c>
      <c r="M17" s="21">
        <v>6200</v>
      </c>
      <c r="N17" s="24">
        <f>6400-900</f>
        <v>5500</v>
      </c>
      <c r="O17" s="24"/>
      <c r="P17" s="24"/>
      <c r="Q17">
        <v>32165</v>
      </c>
      <c r="R17">
        <v>23023</v>
      </c>
      <c r="S17">
        <f t="shared" ref="S17:T23" si="10">ROUND(M17/3*12,2)</f>
        <v>24800</v>
      </c>
      <c r="T17">
        <f t="shared" si="10"/>
        <v>22000</v>
      </c>
      <c r="U17" s="23">
        <f t="shared" si="0"/>
        <v>24800</v>
      </c>
      <c r="V17" s="23">
        <f t="shared" si="1"/>
        <v>22000</v>
      </c>
    </row>
    <row r="18" spans="1:22" ht="18.75">
      <c r="A18" s="47">
        <v>10</v>
      </c>
      <c r="B18" s="47"/>
      <c r="C18" s="48"/>
      <c r="D18" s="49" t="s">
        <v>23</v>
      </c>
      <c r="E18">
        <v>410.6</v>
      </c>
      <c r="F18">
        <v>0</v>
      </c>
      <c r="G18">
        <v>34</v>
      </c>
      <c r="H18">
        <v>0</v>
      </c>
      <c r="I18" t="e">
        <f>ROUND(#REF!/12*3,2)</f>
        <v>#REF!</v>
      </c>
      <c r="J18" t="e">
        <f>ROUND(#REF!/12*3,2)</f>
        <v>#REF!</v>
      </c>
      <c r="M18" s="21">
        <v>100</v>
      </c>
      <c r="N18" s="10">
        <v>0</v>
      </c>
      <c r="Q18">
        <v>555.36</v>
      </c>
      <c r="S18">
        <f t="shared" si="10"/>
        <v>400</v>
      </c>
      <c r="T18">
        <f t="shared" si="10"/>
        <v>0</v>
      </c>
      <c r="U18" s="23">
        <f t="shared" si="0"/>
        <v>400</v>
      </c>
      <c r="V18" s="23">
        <f t="shared" si="1"/>
        <v>0</v>
      </c>
    </row>
    <row r="19" spans="1:22" ht="18.75">
      <c r="A19" s="47">
        <v>11</v>
      </c>
      <c r="B19" s="47"/>
      <c r="C19" s="48"/>
      <c r="D19" s="49" t="s">
        <v>24</v>
      </c>
      <c r="E19">
        <v>224.9</v>
      </c>
      <c r="F19">
        <v>0</v>
      </c>
      <c r="G19">
        <v>19</v>
      </c>
      <c r="H19">
        <v>0</v>
      </c>
      <c r="I19" t="e">
        <f>ROUND(#REF!/12*3,2)</f>
        <v>#REF!</v>
      </c>
      <c r="J19" t="e">
        <f>ROUND(#REF!/12*3,2)</f>
        <v>#REF!</v>
      </c>
      <c r="M19" s="21">
        <v>55</v>
      </c>
      <c r="N19" s="10">
        <v>0</v>
      </c>
      <c r="Q19">
        <v>198</v>
      </c>
      <c r="S19">
        <f t="shared" si="10"/>
        <v>220</v>
      </c>
      <c r="T19">
        <f t="shared" si="10"/>
        <v>0</v>
      </c>
      <c r="U19" s="23">
        <f t="shared" si="0"/>
        <v>198</v>
      </c>
      <c r="V19" s="23">
        <f t="shared" si="1"/>
        <v>0</v>
      </c>
    </row>
    <row r="20" spans="1:22" ht="37.5">
      <c r="A20" s="47">
        <v>12</v>
      </c>
      <c r="B20" s="47"/>
      <c r="C20" s="48"/>
      <c r="D20" s="49" t="s">
        <v>25</v>
      </c>
      <c r="E20">
        <v>0</v>
      </c>
      <c r="F20">
        <v>0</v>
      </c>
      <c r="G20">
        <v>0</v>
      </c>
      <c r="H20">
        <v>0</v>
      </c>
      <c r="I20" t="e">
        <f>ROUND(#REF!/12*3,2)</f>
        <v>#REF!</v>
      </c>
      <c r="J20" t="e">
        <f>ROUND(#REF!/12*3,2)</f>
        <v>#REF!</v>
      </c>
      <c r="M20" s="10">
        <v>0</v>
      </c>
      <c r="N20" s="10">
        <v>0</v>
      </c>
      <c r="S20">
        <f t="shared" si="10"/>
        <v>0</v>
      </c>
      <c r="T20">
        <f t="shared" si="10"/>
        <v>0</v>
      </c>
      <c r="U20" s="23">
        <f t="shared" si="0"/>
        <v>0</v>
      </c>
      <c r="V20" s="23">
        <f t="shared" si="1"/>
        <v>0</v>
      </c>
    </row>
    <row r="21" spans="1:22" ht="37.5">
      <c r="A21" s="47">
        <v>13</v>
      </c>
      <c r="B21" s="47"/>
      <c r="C21" s="48"/>
      <c r="D21" s="49" t="s">
        <v>26</v>
      </c>
      <c r="E21">
        <v>0</v>
      </c>
      <c r="F21">
        <v>0</v>
      </c>
      <c r="G21">
        <v>0</v>
      </c>
      <c r="H21">
        <v>0</v>
      </c>
      <c r="I21" t="e">
        <f>ROUND(#REF!/12*3,2)</f>
        <v>#REF!</v>
      </c>
      <c r="J21" t="e">
        <f>ROUND(#REF!/12*3,2)</f>
        <v>#REF!</v>
      </c>
      <c r="M21" s="10">
        <v>0</v>
      </c>
      <c r="N21" s="10">
        <v>0</v>
      </c>
      <c r="S21">
        <f t="shared" si="10"/>
        <v>0</v>
      </c>
      <c r="T21">
        <f t="shared" si="10"/>
        <v>0</v>
      </c>
      <c r="U21" s="23">
        <f t="shared" si="0"/>
        <v>0</v>
      </c>
      <c r="V21" s="23">
        <f t="shared" si="1"/>
        <v>0</v>
      </c>
    </row>
    <row r="22" spans="1:22" ht="37.5">
      <c r="A22" s="47">
        <v>49</v>
      </c>
      <c r="B22" s="47"/>
      <c r="C22" s="48"/>
      <c r="D22" s="49" t="s">
        <v>27</v>
      </c>
      <c r="E22">
        <v>383.98</v>
      </c>
      <c r="F22">
        <v>0</v>
      </c>
      <c r="G22">
        <v>32</v>
      </c>
      <c r="H22">
        <v>0</v>
      </c>
      <c r="I22" t="e">
        <f>ROUND(#REF!/12*3,2)</f>
        <v>#REF!</v>
      </c>
      <c r="J22" t="e">
        <f>ROUND(#REF!/12*3,2)</f>
        <v>#REF!</v>
      </c>
      <c r="M22" s="21">
        <v>90</v>
      </c>
      <c r="N22" s="21">
        <v>0</v>
      </c>
      <c r="O22" s="21"/>
      <c r="P22" s="21"/>
      <c r="Q22">
        <v>375</v>
      </c>
      <c r="S22">
        <f t="shared" si="10"/>
        <v>360</v>
      </c>
      <c r="T22">
        <f t="shared" si="10"/>
        <v>0</v>
      </c>
      <c r="U22" s="23">
        <f t="shared" si="0"/>
        <v>360</v>
      </c>
      <c r="V22" s="23">
        <f t="shared" si="1"/>
        <v>0</v>
      </c>
    </row>
    <row r="23" spans="1:22" ht="18.75">
      <c r="A23" s="47">
        <v>14</v>
      </c>
      <c r="B23" s="47"/>
      <c r="C23" s="48"/>
      <c r="D23" s="49" t="s">
        <v>28</v>
      </c>
      <c r="E23">
        <v>0</v>
      </c>
      <c r="F23">
        <v>0</v>
      </c>
      <c r="G23">
        <v>0</v>
      </c>
      <c r="H23">
        <v>0</v>
      </c>
      <c r="I23" t="e">
        <f>ROUND(#REF!/12*3,2)</f>
        <v>#REF!</v>
      </c>
      <c r="J23" t="e">
        <f>ROUND(#REF!/12*3,2)</f>
        <v>#REF!</v>
      </c>
      <c r="M23" s="10">
        <v>0</v>
      </c>
      <c r="N23" s="10">
        <v>0</v>
      </c>
      <c r="Q23">
        <v>5.46</v>
      </c>
      <c r="S23">
        <f t="shared" si="10"/>
        <v>0</v>
      </c>
      <c r="T23">
        <f t="shared" si="10"/>
        <v>0</v>
      </c>
      <c r="U23" s="23">
        <f t="shared" si="0"/>
        <v>0</v>
      </c>
      <c r="V23" s="23">
        <f t="shared" si="1"/>
        <v>0</v>
      </c>
    </row>
    <row r="24" spans="1:22" ht="18.75">
      <c r="A24" s="47"/>
      <c r="B24" s="47"/>
      <c r="C24" s="48"/>
      <c r="D24" s="49" t="s">
        <v>29</v>
      </c>
      <c r="E24" s="3">
        <f t="shared" ref="E24:R24" si="11">+E17+E18+E19+E20+E21+E22+E23</f>
        <v>27791.53</v>
      </c>
      <c r="F24" s="3">
        <f t="shared" si="11"/>
        <v>25527.23</v>
      </c>
      <c r="G24" s="3">
        <f t="shared" si="11"/>
        <v>2316</v>
      </c>
      <c r="H24" s="3">
        <f t="shared" si="11"/>
        <v>2127</v>
      </c>
      <c r="I24" s="3" t="e">
        <f t="shared" si="11"/>
        <v>#REF!</v>
      </c>
      <c r="J24" s="16" t="e">
        <f t="shared" si="11"/>
        <v>#REF!</v>
      </c>
      <c r="K24" s="3">
        <f t="shared" si="11"/>
        <v>0</v>
      </c>
      <c r="L24" s="3">
        <f t="shared" si="11"/>
        <v>0</v>
      </c>
      <c r="M24" s="3">
        <f t="shared" si="11"/>
        <v>6445</v>
      </c>
      <c r="N24" s="3">
        <f t="shared" si="11"/>
        <v>5500</v>
      </c>
      <c r="O24" s="3"/>
      <c r="P24" s="3"/>
      <c r="Q24" s="3">
        <f t="shared" si="11"/>
        <v>33298.82</v>
      </c>
      <c r="R24" s="3">
        <f t="shared" si="11"/>
        <v>23023</v>
      </c>
      <c r="S24" s="3">
        <f t="shared" ref="S24:V24" si="12">+S17+S18+S19+S20+S21+S22+S23</f>
        <v>25780</v>
      </c>
      <c r="T24" s="16">
        <f t="shared" si="12"/>
        <v>22000</v>
      </c>
      <c r="U24" s="34">
        <f t="shared" si="12"/>
        <v>25758</v>
      </c>
      <c r="V24" s="34">
        <f t="shared" si="12"/>
        <v>22000</v>
      </c>
    </row>
    <row r="25" spans="1:22" ht="18.75">
      <c r="A25" s="47">
        <v>15</v>
      </c>
      <c r="B25" s="47"/>
      <c r="C25" s="48"/>
      <c r="D25" s="49" t="s">
        <v>30</v>
      </c>
      <c r="E25">
        <v>458.7</v>
      </c>
      <c r="F25">
        <v>0</v>
      </c>
      <c r="G25">
        <v>38</v>
      </c>
      <c r="H25">
        <v>0</v>
      </c>
      <c r="I25" t="e">
        <f>ROUND(#REF!/12*3,2)</f>
        <v>#REF!</v>
      </c>
      <c r="J25" t="e">
        <f>ROUND(#REF!/12*3,2)</f>
        <v>#REF!</v>
      </c>
      <c r="M25" s="21">
        <v>120</v>
      </c>
      <c r="N25" s="21">
        <v>0</v>
      </c>
      <c r="O25" s="21"/>
      <c r="P25" s="21"/>
      <c r="Q25">
        <v>550</v>
      </c>
      <c r="S25">
        <f>ROUND(M25/3*12,2)</f>
        <v>480</v>
      </c>
      <c r="T25">
        <f>ROUND(N25/3*12,2)</f>
        <v>0</v>
      </c>
      <c r="U25" s="23">
        <f t="shared" si="0"/>
        <v>480</v>
      </c>
      <c r="V25" s="23">
        <f t="shared" si="1"/>
        <v>0</v>
      </c>
    </row>
    <row r="26" spans="1:22" ht="18.75">
      <c r="A26" s="50"/>
      <c r="B26" s="50" t="s">
        <v>31</v>
      </c>
      <c r="C26" s="51" t="s">
        <v>32</v>
      </c>
      <c r="D26" s="43" t="s">
        <v>22</v>
      </c>
      <c r="E26" s="1">
        <f t="shared" ref="E26:R26" si="13">+E24+E25</f>
        <v>28250.23</v>
      </c>
      <c r="F26" s="1">
        <f t="shared" si="13"/>
        <v>25527.23</v>
      </c>
      <c r="G26" s="1">
        <f t="shared" si="13"/>
        <v>2354</v>
      </c>
      <c r="H26" s="1">
        <f t="shared" si="13"/>
        <v>2127</v>
      </c>
      <c r="I26" s="1" t="e">
        <f t="shared" si="13"/>
        <v>#REF!</v>
      </c>
      <c r="J26" s="13" t="e">
        <f t="shared" si="13"/>
        <v>#REF!</v>
      </c>
      <c r="K26" s="1">
        <f t="shared" si="13"/>
        <v>0</v>
      </c>
      <c r="L26" s="1">
        <f t="shared" si="13"/>
        <v>0</v>
      </c>
      <c r="M26" s="1">
        <f t="shared" si="13"/>
        <v>6565</v>
      </c>
      <c r="N26" s="1">
        <f t="shared" si="13"/>
        <v>5500</v>
      </c>
      <c r="O26" s="1"/>
      <c r="P26" s="1"/>
      <c r="Q26" s="1">
        <f t="shared" si="13"/>
        <v>33848.82</v>
      </c>
      <c r="R26" s="1">
        <f t="shared" si="13"/>
        <v>23023</v>
      </c>
      <c r="S26" s="1">
        <f t="shared" ref="S26:V26" si="14">+S24+S25</f>
        <v>26260</v>
      </c>
      <c r="T26" s="13">
        <f t="shared" si="14"/>
        <v>22000</v>
      </c>
      <c r="U26" s="34">
        <f t="shared" si="14"/>
        <v>26238</v>
      </c>
      <c r="V26" s="34">
        <f t="shared" si="14"/>
        <v>22000</v>
      </c>
    </row>
    <row r="27" spans="1:22" ht="18.75">
      <c r="A27" s="47">
        <v>16</v>
      </c>
      <c r="B27" s="47"/>
      <c r="C27" s="48"/>
      <c r="D27" s="49" t="s">
        <v>33</v>
      </c>
      <c r="E27">
        <v>3538.8</v>
      </c>
      <c r="F27">
        <v>778.14</v>
      </c>
      <c r="G27">
        <v>295</v>
      </c>
      <c r="H27">
        <v>65</v>
      </c>
      <c r="I27" t="e">
        <f>ROUND(#REF!/12*3,2)</f>
        <v>#REF!</v>
      </c>
      <c r="J27" t="e">
        <f>ROUND(#REF!/12*3,2)</f>
        <v>#REF!</v>
      </c>
      <c r="M27" s="21">
        <v>800</v>
      </c>
      <c r="N27" s="21">
        <v>150</v>
      </c>
      <c r="O27" s="21"/>
      <c r="P27" s="21"/>
      <c r="Q27">
        <v>3850</v>
      </c>
      <c r="R27">
        <v>750</v>
      </c>
      <c r="S27">
        <f>ROUND(M27/3*12,2)</f>
        <v>3200</v>
      </c>
      <c r="T27">
        <f>ROUND(N27/3*12,2)</f>
        <v>600</v>
      </c>
      <c r="U27" s="23">
        <f t="shared" si="0"/>
        <v>3200</v>
      </c>
      <c r="V27" s="23">
        <f t="shared" si="1"/>
        <v>600</v>
      </c>
    </row>
    <row r="28" spans="1:22" ht="37.5">
      <c r="A28" s="47">
        <v>17</v>
      </c>
      <c r="B28" s="47"/>
      <c r="C28" s="48"/>
      <c r="D28" s="49" t="s">
        <v>34</v>
      </c>
      <c r="E28">
        <v>1032.57</v>
      </c>
      <c r="F28">
        <v>0</v>
      </c>
      <c r="G28">
        <v>86</v>
      </c>
      <c r="H28">
        <v>0</v>
      </c>
      <c r="I28" t="e">
        <f>ROUND(#REF!/12*3,2)</f>
        <v>#REF!</v>
      </c>
      <c r="J28" t="e">
        <f>ROUND(#REF!/12*3,2)</f>
        <v>#REF!</v>
      </c>
      <c r="M28" s="21">
        <v>200</v>
      </c>
      <c r="N28" s="21"/>
      <c r="O28" s="21"/>
      <c r="P28" s="21"/>
      <c r="Q28">
        <v>1100</v>
      </c>
      <c r="S28">
        <f>ROUND(M28/3*12,2)</f>
        <v>800</v>
      </c>
      <c r="T28">
        <f>ROUND(N28/3*12,2)</f>
        <v>0</v>
      </c>
      <c r="U28" s="23">
        <f t="shared" si="0"/>
        <v>800</v>
      </c>
      <c r="V28" s="23">
        <f t="shared" si="1"/>
        <v>0</v>
      </c>
    </row>
    <row r="29" spans="1:22" ht="18.75">
      <c r="A29" s="50"/>
      <c r="B29" s="50" t="s">
        <v>35</v>
      </c>
      <c r="C29" s="51" t="s">
        <v>36</v>
      </c>
      <c r="D29" s="43" t="s">
        <v>33</v>
      </c>
      <c r="E29" s="1">
        <f t="shared" ref="E29:R29" si="15">+E27+E28</f>
        <v>4571.37</v>
      </c>
      <c r="F29" s="1">
        <f t="shared" si="15"/>
        <v>778.14</v>
      </c>
      <c r="G29" s="1">
        <f t="shared" si="15"/>
        <v>381</v>
      </c>
      <c r="H29" s="1">
        <f t="shared" si="15"/>
        <v>65</v>
      </c>
      <c r="I29" s="1" t="e">
        <f t="shared" si="15"/>
        <v>#REF!</v>
      </c>
      <c r="J29" s="13" t="e">
        <f t="shared" si="15"/>
        <v>#REF!</v>
      </c>
      <c r="K29" s="1">
        <f t="shared" si="15"/>
        <v>0</v>
      </c>
      <c r="L29" s="1">
        <f t="shared" si="15"/>
        <v>0</v>
      </c>
      <c r="M29" s="1">
        <f t="shared" si="15"/>
        <v>1000</v>
      </c>
      <c r="N29" s="1">
        <f t="shared" si="15"/>
        <v>150</v>
      </c>
      <c r="O29" s="1"/>
      <c r="P29" s="1"/>
      <c r="Q29" s="1">
        <f t="shared" si="15"/>
        <v>4950</v>
      </c>
      <c r="R29" s="1">
        <f t="shared" si="15"/>
        <v>750</v>
      </c>
      <c r="S29" s="1">
        <f t="shared" ref="S29:V29" si="16">+S27+S28</f>
        <v>4000</v>
      </c>
      <c r="T29" s="13">
        <f t="shared" si="16"/>
        <v>600</v>
      </c>
      <c r="U29" s="34">
        <f t="shared" si="16"/>
        <v>4000</v>
      </c>
      <c r="V29" s="34">
        <f t="shared" si="16"/>
        <v>600</v>
      </c>
    </row>
    <row r="30" spans="1:22" ht="18.75">
      <c r="A30" s="47">
        <v>18</v>
      </c>
      <c r="B30" s="47"/>
      <c r="C30" s="48"/>
      <c r="D30" s="49" t="s">
        <v>37</v>
      </c>
      <c r="E30">
        <v>2836.12</v>
      </c>
      <c r="F30">
        <v>561.65</v>
      </c>
      <c r="G30">
        <v>236</v>
      </c>
      <c r="H30">
        <v>47</v>
      </c>
      <c r="I30" t="e">
        <f>ROUND(#REF!/12*3,2)</f>
        <v>#REF!</v>
      </c>
      <c r="J30" t="e">
        <f>ROUND(#REF!/12*3,2)</f>
        <v>#REF!</v>
      </c>
      <c r="M30" s="21">
        <v>715</v>
      </c>
      <c r="N30" s="24">
        <f>177-50</f>
        <v>127</v>
      </c>
      <c r="O30" s="24"/>
      <c r="P30" s="24"/>
      <c r="Q30">
        <v>3000</v>
      </c>
      <c r="R30">
        <v>450</v>
      </c>
      <c r="S30">
        <f t="shared" ref="S30:T32" si="17">ROUND(M30/3*12,2)</f>
        <v>2860</v>
      </c>
      <c r="T30">
        <f t="shared" si="17"/>
        <v>508</v>
      </c>
      <c r="U30" s="23">
        <f t="shared" si="0"/>
        <v>2860</v>
      </c>
      <c r="V30" s="23">
        <f t="shared" si="1"/>
        <v>450</v>
      </c>
    </row>
    <row r="31" spans="1:22" ht="15.75">
      <c r="A31" s="47">
        <v>19</v>
      </c>
      <c r="B31" s="47"/>
      <c r="C31" s="48"/>
      <c r="D31" s="52" t="s">
        <v>389</v>
      </c>
      <c r="E31">
        <v>2319.11</v>
      </c>
      <c r="F31">
        <v>0</v>
      </c>
      <c r="G31">
        <v>193</v>
      </c>
      <c r="H31">
        <v>0</v>
      </c>
      <c r="I31" t="e">
        <f>ROUND(#REF!/12*3,2)</f>
        <v>#REF!</v>
      </c>
      <c r="J31" t="e">
        <f>ROUND(#REF!/12*3,2)</f>
        <v>#REF!</v>
      </c>
      <c r="M31" s="21">
        <v>451.85</v>
      </c>
      <c r="N31" s="21">
        <v>0</v>
      </c>
      <c r="O31" s="21"/>
      <c r="P31" s="21"/>
      <c r="Q31">
        <v>1807.39</v>
      </c>
      <c r="S31">
        <f t="shared" si="17"/>
        <v>1807.4</v>
      </c>
      <c r="T31">
        <f t="shared" si="17"/>
        <v>0</v>
      </c>
      <c r="U31" s="23">
        <f t="shared" si="0"/>
        <v>1807.39</v>
      </c>
      <c r="V31" s="23">
        <f t="shared" si="1"/>
        <v>0</v>
      </c>
    </row>
    <row r="32" spans="1:22" ht="31.5">
      <c r="A32" s="47">
        <v>20</v>
      </c>
      <c r="B32" s="47"/>
      <c r="C32" s="48"/>
      <c r="D32" s="52" t="s">
        <v>390</v>
      </c>
      <c r="E32">
        <v>1959.91</v>
      </c>
      <c r="F32">
        <v>0</v>
      </c>
      <c r="G32">
        <v>163</v>
      </c>
      <c r="H32">
        <v>0</v>
      </c>
      <c r="I32" t="e">
        <f>ROUND(#REF!/12*3,2)</f>
        <v>#REF!</v>
      </c>
      <c r="J32" t="e">
        <f>ROUND(#REF!/12*3,2)</f>
        <v>#REF!</v>
      </c>
      <c r="M32" s="24">
        <f>634.63-150</f>
        <v>484.63</v>
      </c>
      <c r="N32" s="21">
        <v>0</v>
      </c>
      <c r="O32" s="21"/>
      <c r="P32" s="21"/>
      <c r="Q32">
        <v>2538.5</v>
      </c>
      <c r="S32">
        <f t="shared" si="17"/>
        <v>1938.52</v>
      </c>
      <c r="T32">
        <f t="shared" si="17"/>
        <v>0</v>
      </c>
      <c r="U32" s="23">
        <f>IF(Q32&lt;S32,Q32,S32)+0.85</f>
        <v>1939.37</v>
      </c>
      <c r="V32" s="23">
        <f t="shared" si="1"/>
        <v>0</v>
      </c>
    </row>
    <row r="33" spans="1:22" ht="18.75">
      <c r="A33" s="50"/>
      <c r="B33" s="50" t="s">
        <v>38</v>
      </c>
      <c r="C33" s="51" t="s">
        <v>36</v>
      </c>
      <c r="D33" s="43" t="s">
        <v>37</v>
      </c>
      <c r="E33" s="1">
        <f t="shared" ref="E33:V33" si="18">+E30+E31+E32</f>
        <v>7115.1399999999994</v>
      </c>
      <c r="F33" s="1">
        <f t="shared" si="18"/>
        <v>561.65</v>
      </c>
      <c r="G33" s="1">
        <f t="shared" si="18"/>
        <v>592</v>
      </c>
      <c r="H33" s="1">
        <f t="shared" si="18"/>
        <v>47</v>
      </c>
      <c r="I33" s="1" t="e">
        <f t="shared" si="18"/>
        <v>#REF!</v>
      </c>
      <c r="J33" s="13" t="e">
        <f t="shared" si="18"/>
        <v>#REF!</v>
      </c>
      <c r="K33" s="1">
        <f t="shared" si="18"/>
        <v>0</v>
      </c>
      <c r="L33" s="1">
        <f t="shared" si="18"/>
        <v>0</v>
      </c>
      <c r="M33" s="1">
        <f t="shared" si="18"/>
        <v>1651.48</v>
      </c>
      <c r="N33" s="1">
        <f t="shared" si="18"/>
        <v>127</v>
      </c>
      <c r="O33" s="1"/>
      <c r="P33" s="1"/>
      <c r="Q33" s="1">
        <f t="shared" si="18"/>
        <v>7345.89</v>
      </c>
      <c r="R33" s="1">
        <f t="shared" si="18"/>
        <v>450</v>
      </c>
      <c r="S33" s="1">
        <f t="shared" si="18"/>
        <v>6605.92</v>
      </c>
      <c r="T33" s="13">
        <f t="shared" si="18"/>
        <v>508</v>
      </c>
      <c r="U33" s="34">
        <f t="shared" si="18"/>
        <v>6606.76</v>
      </c>
      <c r="V33" s="34">
        <f t="shared" si="18"/>
        <v>450</v>
      </c>
    </row>
    <row r="34" spans="1:22" ht="18.75">
      <c r="A34" s="47">
        <v>23</v>
      </c>
      <c r="B34" s="47"/>
      <c r="C34" s="48"/>
      <c r="D34" s="49" t="s">
        <v>39</v>
      </c>
      <c r="E34">
        <v>3226.04</v>
      </c>
      <c r="F34">
        <v>2757.44</v>
      </c>
      <c r="G34">
        <v>269</v>
      </c>
      <c r="H34">
        <v>230</v>
      </c>
      <c r="I34" t="e">
        <f>ROUND(#REF!/12*3,2)</f>
        <v>#REF!</v>
      </c>
      <c r="J34" t="e">
        <f>ROUND(#REF!/12*3,2)</f>
        <v>#REF!</v>
      </c>
      <c r="M34" s="24">
        <f>800-20</f>
        <v>780</v>
      </c>
      <c r="N34" s="24">
        <f>700-50-10</f>
        <v>640</v>
      </c>
      <c r="O34" s="24"/>
      <c r="P34" s="24"/>
      <c r="Q34">
        <v>3646.76</v>
      </c>
      <c r="R34">
        <v>3000</v>
      </c>
      <c r="S34">
        <f>ROUND(M34/3*12,2)</f>
        <v>3120</v>
      </c>
      <c r="T34">
        <f>ROUND(N34/3*12,2)</f>
        <v>2560</v>
      </c>
      <c r="U34" s="23">
        <f t="shared" si="0"/>
        <v>3120</v>
      </c>
      <c r="V34" s="23">
        <f t="shared" si="1"/>
        <v>2560</v>
      </c>
    </row>
    <row r="35" spans="1:22" ht="18.75">
      <c r="A35" s="47">
        <v>24</v>
      </c>
      <c r="B35" s="47"/>
      <c r="C35" s="48"/>
      <c r="D35" s="49" t="s">
        <v>40</v>
      </c>
      <c r="E35">
        <v>760.01</v>
      </c>
      <c r="F35">
        <v>0</v>
      </c>
      <c r="G35">
        <v>63</v>
      </c>
      <c r="H35">
        <v>0</v>
      </c>
      <c r="I35" t="e">
        <f>ROUND(#REF!/12*3,2)</f>
        <v>#REF!</v>
      </c>
      <c r="J35" t="e">
        <f>ROUND(#REF!/12*3,2)</f>
        <v>#REF!</v>
      </c>
      <c r="M35" s="21">
        <v>189</v>
      </c>
      <c r="N35" s="21">
        <v>0</v>
      </c>
      <c r="O35" s="21"/>
      <c r="P35" s="21"/>
      <c r="Q35">
        <v>1682.74</v>
      </c>
      <c r="S35">
        <f>ROUND(M35/3*12,2)</f>
        <v>756</v>
      </c>
      <c r="T35">
        <f>ROUND(N35/3*12,2)</f>
        <v>0</v>
      </c>
      <c r="U35" s="23">
        <f t="shared" si="0"/>
        <v>756</v>
      </c>
      <c r="V35" s="23">
        <f t="shared" si="1"/>
        <v>0</v>
      </c>
    </row>
    <row r="36" spans="1:22" ht="18.75">
      <c r="A36" s="50"/>
      <c r="B36" s="50" t="s">
        <v>41</v>
      </c>
      <c r="C36" s="51" t="s">
        <v>36</v>
      </c>
      <c r="D36" s="43" t="s">
        <v>39</v>
      </c>
      <c r="E36" s="1">
        <f t="shared" ref="E36:R36" si="19">+E34+E35</f>
        <v>3986.05</v>
      </c>
      <c r="F36" s="1">
        <f t="shared" si="19"/>
        <v>2757.44</v>
      </c>
      <c r="G36" s="1">
        <f t="shared" si="19"/>
        <v>332</v>
      </c>
      <c r="H36" s="1">
        <f t="shared" si="19"/>
        <v>230</v>
      </c>
      <c r="I36" s="1" t="e">
        <f t="shared" si="19"/>
        <v>#REF!</v>
      </c>
      <c r="J36" s="13" t="e">
        <f t="shared" si="19"/>
        <v>#REF!</v>
      </c>
      <c r="K36" s="1">
        <f t="shared" si="19"/>
        <v>0</v>
      </c>
      <c r="L36" s="1">
        <f t="shared" si="19"/>
        <v>0</v>
      </c>
      <c r="M36" s="1">
        <f t="shared" si="19"/>
        <v>969</v>
      </c>
      <c r="N36" s="1">
        <f t="shared" si="19"/>
        <v>640</v>
      </c>
      <c r="O36" s="1"/>
      <c r="P36" s="1"/>
      <c r="Q36" s="1">
        <f t="shared" si="19"/>
        <v>5329.5</v>
      </c>
      <c r="R36" s="1">
        <f t="shared" si="19"/>
        <v>3000</v>
      </c>
      <c r="S36" s="1">
        <f t="shared" ref="S36:V36" si="20">+S34+S35</f>
        <v>3876</v>
      </c>
      <c r="T36" s="13">
        <f t="shared" si="20"/>
        <v>2560</v>
      </c>
      <c r="U36" s="34">
        <f t="shared" si="20"/>
        <v>3876</v>
      </c>
      <c r="V36" s="34">
        <f t="shared" si="20"/>
        <v>2560</v>
      </c>
    </row>
    <row r="37" spans="1:22" ht="18.75">
      <c r="A37" s="47">
        <v>25</v>
      </c>
      <c r="B37" s="47"/>
      <c r="C37" s="48"/>
      <c r="D37" s="49" t="s">
        <v>42</v>
      </c>
      <c r="E37">
        <v>504</v>
      </c>
      <c r="F37">
        <v>106.9</v>
      </c>
      <c r="G37">
        <v>42</v>
      </c>
      <c r="H37">
        <v>3</v>
      </c>
      <c r="I37" t="e">
        <f>ROUND(#REF!/12*3,2)</f>
        <v>#REF!</v>
      </c>
      <c r="J37" t="e">
        <f>ROUND(#REF!/12*3,2)</f>
        <v>#REF!</v>
      </c>
      <c r="M37" s="21">
        <v>120</v>
      </c>
      <c r="N37" s="21">
        <v>3.45</v>
      </c>
      <c r="O37" s="21"/>
      <c r="P37" s="21"/>
      <c r="Q37">
        <v>520</v>
      </c>
      <c r="R37">
        <f>3+3.45</f>
        <v>6.45</v>
      </c>
      <c r="S37">
        <f>ROUND(M37/3*12,2)</f>
        <v>480</v>
      </c>
      <c r="T37">
        <f>ROUND(N37/3*12,2)</f>
        <v>13.8</v>
      </c>
      <c r="U37" s="23">
        <f t="shared" si="0"/>
        <v>480</v>
      </c>
      <c r="V37" s="23">
        <f t="shared" si="1"/>
        <v>6.45</v>
      </c>
    </row>
    <row r="38" spans="1:22" ht="18.75">
      <c r="A38" s="47">
        <v>26</v>
      </c>
      <c r="B38" s="47"/>
      <c r="C38" s="48"/>
      <c r="D38" s="49" t="s">
        <v>43</v>
      </c>
      <c r="E38">
        <v>0</v>
      </c>
      <c r="F38">
        <v>0</v>
      </c>
      <c r="G38">
        <v>0</v>
      </c>
      <c r="H38">
        <v>0</v>
      </c>
      <c r="I38" t="e">
        <f>ROUND(#REF!/12*3,2)</f>
        <v>#REF!</v>
      </c>
      <c r="J38" t="e">
        <f>ROUND(#REF!/12*3,2)</f>
        <v>#REF!</v>
      </c>
      <c r="M38" s="21">
        <v>0</v>
      </c>
      <c r="N38" s="21">
        <v>0</v>
      </c>
      <c r="O38" s="21"/>
      <c r="P38" s="21"/>
      <c r="Q38">
        <v>0</v>
      </c>
      <c r="R38">
        <v>0</v>
      </c>
      <c r="S38">
        <f>ROUND(M38/3*12,2)</f>
        <v>0</v>
      </c>
      <c r="T38">
        <f>ROUND(N38/3*12,2)</f>
        <v>0</v>
      </c>
      <c r="U38" s="23">
        <f t="shared" si="0"/>
        <v>0</v>
      </c>
      <c r="V38" s="23">
        <f t="shared" si="1"/>
        <v>0</v>
      </c>
    </row>
    <row r="39" spans="1:22" ht="18.75">
      <c r="A39" s="50"/>
      <c r="B39" s="50" t="s">
        <v>44</v>
      </c>
      <c r="C39" s="51" t="s">
        <v>36</v>
      </c>
      <c r="D39" s="43" t="s">
        <v>42</v>
      </c>
      <c r="E39" s="1">
        <f t="shared" ref="E39:R39" si="21">+E37+E38</f>
        <v>504</v>
      </c>
      <c r="F39" s="1">
        <f t="shared" si="21"/>
        <v>106.9</v>
      </c>
      <c r="G39" s="1">
        <f t="shared" si="21"/>
        <v>42</v>
      </c>
      <c r="H39" s="1">
        <f t="shared" si="21"/>
        <v>3</v>
      </c>
      <c r="I39" s="1" t="e">
        <f t="shared" si="21"/>
        <v>#REF!</v>
      </c>
      <c r="J39" s="13" t="e">
        <f t="shared" si="21"/>
        <v>#REF!</v>
      </c>
      <c r="K39" s="1">
        <f t="shared" si="21"/>
        <v>0</v>
      </c>
      <c r="L39" s="1">
        <f t="shared" si="21"/>
        <v>0</v>
      </c>
      <c r="M39" s="1">
        <f t="shared" si="21"/>
        <v>120</v>
      </c>
      <c r="N39" s="1">
        <f t="shared" si="21"/>
        <v>3.45</v>
      </c>
      <c r="O39" s="1"/>
      <c r="P39" s="1"/>
      <c r="Q39" s="1">
        <f t="shared" si="21"/>
        <v>520</v>
      </c>
      <c r="R39" s="1">
        <f t="shared" si="21"/>
        <v>6.45</v>
      </c>
      <c r="S39" s="1">
        <f t="shared" ref="S39:V39" si="22">+S37+S38</f>
        <v>480</v>
      </c>
      <c r="T39" s="13">
        <f t="shared" si="22"/>
        <v>13.8</v>
      </c>
      <c r="U39" s="34">
        <f t="shared" si="22"/>
        <v>480</v>
      </c>
      <c r="V39" s="34">
        <f t="shared" si="22"/>
        <v>6.45</v>
      </c>
    </row>
    <row r="40" spans="1:22" ht="18.75">
      <c r="A40" s="47">
        <v>27</v>
      </c>
      <c r="B40" s="47"/>
      <c r="C40" s="48"/>
      <c r="D40" s="49" t="s">
        <v>45</v>
      </c>
      <c r="E40">
        <v>5304.54</v>
      </c>
      <c r="F40">
        <v>5093.59</v>
      </c>
      <c r="G40">
        <v>442</v>
      </c>
      <c r="H40">
        <v>424</v>
      </c>
      <c r="I40" t="e">
        <f>ROUND(#REF!/12*3,2)</f>
        <v>#REF!</v>
      </c>
      <c r="J40" t="e">
        <f>ROUND(#REF!/12*3,2)</f>
        <v>#REF!</v>
      </c>
      <c r="M40" s="21">
        <v>1250</v>
      </c>
      <c r="N40" s="21">
        <v>1200</v>
      </c>
      <c r="O40" s="21"/>
      <c r="P40" s="21"/>
      <c r="Q40">
        <v>5300</v>
      </c>
      <c r="R40">
        <v>4900</v>
      </c>
      <c r="S40">
        <f t="shared" ref="S40:T42" si="23">ROUND(M40/3*12,2)</f>
        <v>5000</v>
      </c>
      <c r="T40">
        <f t="shared" si="23"/>
        <v>4800</v>
      </c>
      <c r="U40" s="23">
        <f t="shared" si="0"/>
        <v>5000</v>
      </c>
      <c r="V40" s="23">
        <f t="shared" si="1"/>
        <v>4800</v>
      </c>
    </row>
    <row r="41" spans="1:22" ht="37.5">
      <c r="A41" s="47">
        <v>28</v>
      </c>
      <c r="B41" s="47"/>
      <c r="C41" s="48"/>
      <c r="D41" s="49" t="s">
        <v>46</v>
      </c>
      <c r="E41">
        <v>248.28</v>
      </c>
      <c r="F41">
        <v>0</v>
      </c>
      <c r="G41">
        <v>21</v>
      </c>
      <c r="H41">
        <v>0</v>
      </c>
      <c r="I41" t="e">
        <f>ROUND(#REF!/12*3,2)</f>
        <v>#REF!</v>
      </c>
      <c r="J41" t="e">
        <f>ROUND(#REF!/12*3,2)</f>
        <v>#REF!</v>
      </c>
      <c r="M41" s="24">
        <f>90-25</f>
        <v>65</v>
      </c>
      <c r="N41" s="21">
        <v>0</v>
      </c>
      <c r="O41" s="21"/>
      <c r="P41" s="21"/>
      <c r="Q41">
        <v>363</v>
      </c>
      <c r="S41">
        <f t="shared" si="23"/>
        <v>260</v>
      </c>
      <c r="T41">
        <f t="shared" si="23"/>
        <v>0</v>
      </c>
      <c r="U41" s="23">
        <f t="shared" si="0"/>
        <v>260</v>
      </c>
      <c r="V41" s="23">
        <f t="shared" si="1"/>
        <v>0</v>
      </c>
    </row>
    <row r="42" spans="1:22" ht="37.5">
      <c r="A42" s="47">
        <v>29</v>
      </c>
      <c r="B42" s="47"/>
      <c r="C42" s="48"/>
      <c r="D42" s="49" t="s">
        <v>47</v>
      </c>
      <c r="E42">
        <v>0</v>
      </c>
      <c r="F42">
        <v>0</v>
      </c>
      <c r="G42">
        <v>0</v>
      </c>
      <c r="H42">
        <v>0</v>
      </c>
      <c r="I42" t="e">
        <f>ROUND(#REF!/12*3,2)</f>
        <v>#REF!</v>
      </c>
      <c r="J42" t="e">
        <f>ROUND(#REF!/12*3,2)</f>
        <v>#REF!</v>
      </c>
      <c r="M42" s="21">
        <v>0</v>
      </c>
      <c r="N42" s="21">
        <v>0</v>
      </c>
      <c r="O42" s="21"/>
      <c r="P42" s="21"/>
      <c r="Q42">
        <v>0</v>
      </c>
      <c r="R42">
        <v>0</v>
      </c>
      <c r="S42">
        <f t="shared" si="23"/>
        <v>0</v>
      </c>
      <c r="T42">
        <f t="shared" si="23"/>
        <v>0</v>
      </c>
      <c r="U42" s="23">
        <f t="shared" si="0"/>
        <v>0</v>
      </c>
      <c r="V42" s="23">
        <f t="shared" si="1"/>
        <v>0</v>
      </c>
    </row>
    <row r="43" spans="1:22" ht="18.75">
      <c r="A43" s="50"/>
      <c r="B43" s="50" t="s">
        <v>48</v>
      </c>
      <c r="C43" s="51" t="s">
        <v>32</v>
      </c>
      <c r="D43" s="43" t="s">
        <v>45</v>
      </c>
      <c r="E43" s="13">
        <f t="shared" ref="E43:V43" si="24">+E40+E41+E42</f>
        <v>5552.82</v>
      </c>
      <c r="F43" s="13">
        <f t="shared" si="24"/>
        <v>5093.59</v>
      </c>
      <c r="G43" s="13">
        <f t="shared" si="24"/>
        <v>463</v>
      </c>
      <c r="H43" s="13">
        <f t="shared" si="24"/>
        <v>424</v>
      </c>
      <c r="I43" s="13" t="e">
        <f t="shared" si="24"/>
        <v>#REF!</v>
      </c>
      <c r="J43" s="13" t="e">
        <f t="shared" si="24"/>
        <v>#REF!</v>
      </c>
      <c r="K43" s="1">
        <f t="shared" si="24"/>
        <v>0</v>
      </c>
      <c r="L43" s="1">
        <f t="shared" si="24"/>
        <v>0</v>
      </c>
      <c r="M43" s="1">
        <f t="shared" si="24"/>
        <v>1315</v>
      </c>
      <c r="N43" s="1">
        <f t="shared" si="24"/>
        <v>1200</v>
      </c>
      <c r="O43" s="1"/>
      <c r="P43" s="1"/>
      <c r="Q43" s="13">
        <f t="shared" si="24"/>
        <v>5663</v>
      </c>
      <c r="R43" s="13">
        <f t="shared" si="24"/>
        <v>4900</v>
      </c>
      <c r="S43" s="13">
        <f t="shared" si="24"/>
        <v>5260</v>
      </c>
      <c r="T43" s="13">
        <f t="shared" si="24"/>
        <v>4800</v>
      </c>
      <c r="U43" s="34">
        <f t="shared" si="24"/>
        <v>5260</v>
      </c>
      <c r="V43" s="34">
        <f t="shared" si="24"/>
        <v>4800</v>
      </c>
    </row>
    <row r="44" spans="1:22" ht="18.75">
      <c r="A44" s="50">
        <v>30</v>
      </c>
      <c r="B44" s="50" t="s">
        <v>49</v>
      </c>
      <c r="C44" s="51" t="s">
        <v>50</v>
      </c>
      <c r="D44" s="43" t="s">
        <v>51</v>
      </c>
      <c r="E44">
        <v>3527.57</v>
      </c>
      <c r="F44">
        <v>578.14</v>
      </c>
      <c r="G44">
        <v>294</v>
      </c>
      <c r="H44">
        <v>48</v>
      </c>
      <c r="I44" t="e">
        <f>ROUND(#REF!/12*3,2)</f>
        <v>#REF!</v>
      </c>
      <c r="J44" t="e">
        <f>ROUND(#REF!/12*3,2)</f>
        <v>#REF!</v>
      </c>
      <c r="M44" s="21">
        <v>825</v>
      </c>
      <c r="N44" s="24">
        <f>200-70</f>
        <v>130</v>
      </c>
      <c r="O44" s="24"/>
      <c r="P44" s="24"/>
      <c r="Q44">
        <v>3664</v>
      </c>
      <c r="R44">
        <v>415</v>
      </c>
      <c r="S44">
        <f t="shared" ref="S44:T48" si="25">ROUND(M44/3*12,2)</f>
        <v>3300</v>
      </c>
      <c r="T44">
        <f t="shared" si="25"/>
        <v>520</v>
      </c>
      <c r="U44" s="23">
        <f t="shared" si="0"/>
        <v>3300</v>
      </c>
      <c r="V44" s="23">
        <f t="shared" si="1"/>
        <v>415</v>
      </c>
    </row>
    <row r="45" spans="1:22" ht="18.75">
      <c r="A45" s="50">
        <v>31</v>
      </c>
      <c r="B45" s="50" t="s">
        <v>52</v>
      </c>
      <c r="C45" s="51" t="s">
        <v>53</v>
      </c>
      <c r="D45" s="43" t="s">
        <v>54</v>
      </c>
      <c r="E45">
        <v>1476.34</v>
      </c>
      <c r="F45">
        <v>261.05</v>
      </c>
      <c r="G45">
        <v>123</v>
      </c>
      <c r="H45">
        <v>22</v>
      </c>
      <c r="I45" t="e">
        <f>ROUND(#REF!/12*3,2)</f>
        <v>#REF!</v>
      </c>
      <c r="J45" t="e">
        <f>ROUND(#REF!/12*3,2)</f>
        <v>#REF!</v>
      </c>
      <c r="M45" s="21">
        <v>330.75</v>
      </c>
      <c r="N45" s="24">
        <f>76-15</f>
        <v>61</v>
      </c>
      <c r="O45" s="24"/>
      <c r="P45" s="24"/>
      <c r="Q45">
        <v>1450</v>
      </c>
      <c r="R45">
        <v>100</v>
      </c>
      <c r="S45">
        <f t="shared" si="25"/>
        <v>1323</v>
      </c>
      <c r="T45">
        <f t="shared" si="25"/>
        <v>244</v>
      </c>
      <c r="U45" s="23">
        <f t="shared" si="0"/>
        <v>1323</v>
      </c>
      <c r="V45" s="23">
        <f t="shared" si="1"/>
        <v>100</v>
      </c>
    </row>
    <row r="46" spans="1:22" ht="18.75">
      <c r="A46" s="47">
        <v>32</v>
      </c>
      <c r="B46" s="47"/>
      <c r="C46" s="48"/>
      <c r="D46" s="49" t="s">
        <v>55</v>
      </c>
      <c r="E46">
        <v>1015.3</v>
      </c>
      <c r="F46">
        <v>39.68</v>
      </c>
      <c r="G46">
        <v>85</v>
      </c>
      <c r="H46">
        <v>3</v>
      </c>
      <c r="I46" t="e">
        <f>ROUND(#REF!/12*3,2)</f>
        <v>#REF!</v>
      </c>
      <c r="J46" t="e">
        <f>ROUND(#REF!/12*3,2)</f>
        <v>#REF!</v>
      </c>
      <c r="M46" s="24">
        <f>280-10</f>
        <v>270</v>
      </c>
      <c r="N46" s="24">
        <f>120-50-20</f>
        <v>50</v>
      </c>
      <c r="O46" s="24"/>
      <c r="P46" s="24">
        <v>60</v>
      </c>
      <c r="Q46">
        <v>955.75</v>
      </c>
      <c r="R46">
        <v>200</v>
      </c>
      <c r="S46">
        <f t="shared" si="25"/>
        <v>1080</v>
      </c>
      <c r="T46">
        <f t="shared" si="25"/>
        <v>200</v>
      </c>
      <c r="U46" s="23">
        <f t="shared" si="0"/>
        <v>955.75</v>
      </c>
      <c r="V46" s="23">
        <f t="shared" si="1"/>
        <v>200</v>
      </c>
    </row>
    <row r="47" spans="1:22" ht="31.5">
      <c r="A47" s="47">
        <v>33</v>
      </c>
      <c r="B47" s="47"/>
      <c r="C47" s="48"/>
      <c r="D47" s="52" t="s">
        <v>391</v>
      </c>
      <c r="E47">
        <v>1023.75</v>
      </c>
      <c r="F47">
        <v>0</v>
      </c>
      <c r="G47">
        <v>85</v>
      </c>
      <c r="H47">
        <v>0</v>
      </c>
      <c r="I47" t="e">
        <f>ROUND(#REF!/12*3,2)</f>
        <v>#REF!</v>
      </c>
      <c r="J47" t="e">
        <f>ROUND(#REF!/12*3,2)</f>
        <v>#REF!</v>
      </c>
      <c r="M47" s="21">
        <v>200</v>
      </c>
      <c r="N47" s="21">
        <v>0</v>
      </c>
      <c r="O47" s="21"/>
      <c r="P47" s="21"/>
      <c r="Q47">
        <v>1068</v>
      </c>
      <c r="S47">
        <f t="shared" si="25"/>
        <v>800</v>
      </c>
      <c r="T47">
        <f t="shared" si="25"/>
        <v>0</v>
      </c>
      <c r="U47" s="23">
        <f t="shared" si="0"/>
        <v>800</v>
      </c>
      <c r="V47" s="23">
        <f t="shared" si="1"/>
        <v>0</v>
      </c>
    </row>
    <row r="48" spans="1:22" ht="47.25">
      <c r="A48" s="47">
        <v>34</v>
      </c>
      <c r="B48" s="47"/>
      <c r="C48" s="48"/>
      <c r="D48" s="52" t="s">
        <v>392</v>
      </c>
      <c r="E48">
        <v>0</v>
      </c>
      <c r="F48">
        <v>0</v>
      </c>
      <c r="G48">
        <v>0</v>
      </c>
      <c r="H48">
        <v>0</v>
      </c>
      <c r="I48" t="e">
        <f>ROUND(#REF!/12*3,2)</f>
        <v>#REF!</v>
      </c>
      <c r="J48" t="e">
        <f>ROUND(#REF!/12*3,2)</f>
        <v>#REF!</v>
      </c>
      <c r="M48" s="21">
        <v>0</v>
      </c>
      <c r="N48" s="21">
        <v>0</v>
      </c>
      <c r="O48" s="21"/>
      <c r="P48" s="21"/>
      <c r="S48">
        <f t="shared" si="25"/>
        <v>0</v>
      </c>
      <c r="T48">
        <f t="shared" si="25"/>
        <v>0</v>
      </c>
      <c r="U48" s="23">
        <f t="shared" si="0"/>
        <v>0</v>
      </c>
      <c r="V48" s="23">
        <f t="shared" si="1"/>
        <v>0</v>
      </c>
    </row>
    <row r="49" spans="1:22" ht="18.75">
      <c r="A49" s="50"/>
      <c r="B49" s="50" t="s">
        <v>56</v>
      </c>
      <c r="C49" s="51" t="s">
        <v>32</v>
      </c>
      <c r="D49" s="43" t="s">
        <v>55</v>
      </c>
      <c r="E49" s="1">
        <f t="shared" ref="E49:R49" si="26">+E46+E47+E48</f>
        <v>2039.05</v>
      </c>
      <c r="F49" s="1">
        <f t="shared" si="26"/>
        <v>39.68</v>
      </c>
      <c r="G49" s="1">
        <f t="shared" si="26"/>
        <v>170</v>
      </c>
      <c r="H49" s="1">
        <f t="shared" si="26"/>
        <v>3</v>
      </c>
      <c r="I49" s="1" t="e">
        <f t="shared" si="26"/>
        <v>#REF!</v>
      </c>
      <c r="J49" s="13" t="e">
        <f t="shared" si="26"/>
        <v>#REF!</v>
      </c>
      <c r="K49" s="1">
        <f t="shared" si="26"/>
        <v>0</v>
      </c>
      <c r="L49" s="1">
        <f t="shared" si="26"/>
        <v>0</v>
      </c>
      <c r="M49" s="1">
        <f t="shared" si="26"/>
        <v>470</v>
      </c>
      <c r="N49" s="1">
        <f t="shared" si="26"/>
        <v>50</v>
      </c>
      <c r="O49" s="1">
        <f t="shared" si="26"/>
        <v>0</v>
      </c>
      <c r="P49" s="1">
        <f t="shared" si="26"/>
        <v>60</v>
      </c>
      <c r="Q49" s="1">
        <f t="shared" si="26"/>
        <v>2023.75</v>
      </c>
      <c r="R49" s="1">
        <f t="shared" si="26"/>
        <v>200</v>
      </c>
      <c r="S49" s="1">
        <f t="shared" ref="S49:V49" si="27">+S46+S47+S48</f>
        <v>1880</v>
      </c>
      <c r="T49" s="13">
        <f t="shared" si="27"/>
        <v>200</v>
      </c>
      <c r="U49" s="34">
        <f t="shared" si="27"/>
        <v>1755.75</v>
      </c>
      <c r="V49" s="34">
        <f t="shared" si="27"/>
        <v>200</v>
      </c>
    </row>
    <row r="50" spans="1:22" ht="18.75">
      <c r="A50" s="47">
        <v>35</v>
      </c>
      <c r="B50" s="47"/>
      <c r="C50" s="48"/>
      <c r="D50" s="49" t="s">
        <v>57</v>
      </c>
      <c r="E50">
        <v>799.89</v>
      </c>
      <c r="F50">
        <v>223.46</v>
      </c>
      <c r="G50">
        <v>67</v>
      </c>
      <c r="H50">
        <v>19</v>
      </c>
      <c r="I50" t="e">
        <f>ROUND(#REF!/12*3,2)</f>
        <v>#REF!</v>
      </c>
      <c r="J50" t="e">
        <f>ROUND(#REF!/12*3,2)</f>
        <v>#REF!</v>
      </c>
      <c r="M50" s="21">
        <v>175</v>
      </c>
      <c r="N50" s="24">
        <f>83.32-20</f>
        <v>63.319999999999993</v>
      </c>
      <c r="O50" s="24"/>
      <c r="P50" s="24"/>
      <c r="Q50">
        <v>741</v>
      </c>
      <c r="R50">
        <v>150</v>
      </c>
      <c r="S50">
        <f>ROUND(M50/3*12,2)</f>
        <v>700</v>
      </c>
      <c r="T50">
        <f>ROUND(N50/3*12,2)</f>
        <v>253.28</v>
      </c>
      <c r="U50" s="23">
        <f t="shared" si="0"/>
        <v>700</v>
      </c>
      <c r="V50" s="23">
        <f t="shared" si="1"/>
        <v>150</v>
      </c>
    </row>
    <row r="51" spans="1:22" ht="18.75">
      <c r="A51" s="47">
        <v>36</v>
      </c>
      <c r="B51" s="47"/>
      <c r="C51" s="48"/>
      <c r="D51" s="49" t="s">
        <v>58</v>
      </c>
      <c r="E51">
        <v>795.04</v>
      </c>
      <c r="F51">
        <v>0</v>
      </c>
      <c r="G51">
        <v>66</v>
      </c>
      <c r="H51">
        <v>0</v>
      </c>
      <c r="I51" t="e">
        <f>ROUND(#REF!/12*3,2)</f>
        <v>#REF!</v>
      </c>
      <c r="J51" t="e">
        <f>ROUND(#REF!/12*3,2)</f>
        <v>#REF!</v>
      </c>
      <c r="M51" s="24">
        <f>210-50</f>
        <v>160</v>
      </c>
      <c r="N51" s="21"/>
      <c r="O51" s="21"/>
      <c r="P51" s="21"/>
      <c r="Q51">
        <v>950</v>
      </c>
      <c r="S51">
        <f>ROUND(M51/3*12,2)</f>
        <v>640</v>
      </c>
      <c r="T51">
        <f>ROUND(N51/3*12,2)</f>
        <v>0</v>
      </c>
      <c r="U51" s="23">
        <f t="shared" si="0"/>
        <v>640</v>
      </c>
      <c r="V51" s="23">
        <f t="shared" si="1"/>
        <v>0</v>
      </c>
    </row>
    <row r="52" spans="1:22" ht="18.75">
      <c r="A52" s="50"/>
      <c r="B52" s="50" t="s">
        <v>59</v>
      </c>
      <c r="C52" s="51" t="s">
        <v>60</v>
      </c>
      <c r="D52" s="43" t="s">
        <v>57</v>
      </c>
      <c r="E52" s="1">
        <f t="shared" ref="E52:R52" si="28">+E50+E51</f>
        <v>1594.9299999999998</v>
      </c>
      <c r="F52" s="1">
        <f t="shared" si="28"/>
        <v>223.46</v>
      </c>
      <c r="G52" s="1">
        <f t="shared" si="28"/>
        <v>133</v>
      </c>
      <c r="H52" s="1">
        <f t="shared" si="28"/>
        <v>19</v>
      </c>
      <c r="I52" s="1" t="e">
        <f t="shared" si="28"/>
        <v>#REF!</v>
      </c>
      <c r="J52" s="13" t="e">
        <f t="shared" si="28"/>
        <v>#REF!</v>
      </c>
      <c r="K52" s="1">
        <f t="shared" si="28"/>
        <v>0</v>
      </c>
      <c r="L52" s="1">
        <f t="shared" si="28"/>
        <v>0</v>
      </c>
      <c r="M52" s="1">
        <f t="shared" si="28"/>
        <v>335</v>
      </c>
      <c r="N52" s="1">
        <f t="shared" si="28"/>
        <v>63.319999999999993</v>
      </c>
      <c r="O52" s="1"/>
      <c r="P52" s="1"/>
      <c r="Q52" s="1">
        <f t="shared" si="28"/>
        <v>1691</v>
      </c>
      <c r="R52" s="1">
        <f t="shared" si="28"/>
        <v>150</v>
      </c>
      <c r="S52" s="1">
        <f t="shared" ref="S52:V52" si="29">+S50+S51</f>
        <v>1340</v>
      </c>
      <c r="T52" s="13">
        <f t="shared" si="29"/>
        <v>253.28</v>
      </c>
      <c r="U52" s="34">
        <f t="shared" si="29"/>
        <v>1340</v>
      </c>
      <c r="V52" s="34">
        <f t="shared" si="29"/>
        <v>150</v>
      </c>
    </row>
    <row r="53" spans="1:22" ht="15.75">
      <c r="A53" s="47">
        <v>37</v>
      </c>
      <c r="B53" s="47"/>
      <c r="C53" s="48"/>
      <c r="D53" s="53" t="s">
        <v>393</v>
      </c>
      <c r="E53">
        <v>1249.7</v>
      </c>
      <c r="F53">
        <v>72.209999999999994</v>
      </c>
      <c r="G53">
        <v>104</v>
      </c>
      <c r="H53">
        <v>6</v>
      </c>
      <c r="I53" t="e">
        <f>ROUND(#REF!/12*3,2)</f>
        <v>#REF!</v>
      </c>
      <c r="J53" t="e">
        <f>ROUND(#REF!/12*3,2)</f>
        <v>#REF!</v>
      </c>
      <c r="M53" s="21">
        <v>315</v>
      </c>
      <c r="N53" s="21">
        <v>0</v>
      </c>
      <c r="O53" s="21"/>
      <c r="P53" s="21"/>
      <c r="Q53">
        <v>1339</v>
      </c>
      <c r="R53" s="29">
        <v>105</v>
      </c>
      <c r="S53">
        <f t="shared" ref="S53:T55" si="30">ROUND(M53/3*12,2)</f>
        <v>1260</v>
      </c>
      <c r="T53">
        <f t="shared" si="30"/>
        <v>0</v>
      </c>
      <c r="U53" s="23">
        <f t="shared" si="0"/>
        <v>1260</v>
      </c>
      <c r="V53" s="23">
        <f>IF(R53&lt;T53,R53,T53)+105</f>
        <v>105</v>
      </c>
    </row>
    <row r="54" spans="1:22" ht="31.5">
      <c r="A54" s="47">
        <v>38</v>
      </c>
      <c r="B54" s="47"/>
      <c r="C54" s="48"/>
      <c r="D54" s="52" t="s">
        <v>394</v>
      </c>
      <c r="E54">
        <v>0</v>
      </c>
      <c r="F54">
        <v>0</v>
      </c>
      <c r="G54">
        <v>0</v>
      </c>
      <c r="H54">
        <v>0</v>
      </c>
      <c r="I54" t="e">
        <f>ROUND(#REF!/12*3,2)</f>
        <v>#REF!</v>
      </c>
      <c r="J54" t="e">
        <f>ROUND(#REF!/12*3,2)</f>
        <v>#REF!</v>
      </c>
      <c r="M54" s="21">
        <v>0</v>
      </c>
      <c r="N54" s="10">
        <v>0</v>
      </c>
      <c r="Q54">
        <v>0</v>
      </c>
      <c r="R54">
        <v>0</v>
      </c>
      <c r="S54">
        <f t="shared" si="30"/>
        <v>0</v>
      </c>
      <c r="T54">
        <f t="shared" si="30"/>
        <v>0</v>
      </c>
      <c r="U54" s="23">
        <f t="shared" si="0"/>
        <v>0</v>
      </c>
      <c r="V54" s="23">
        <f t="shared" si="1"/>
        <v>0</v>
      </c>
    </row>
    <row r="55" spans="1:22" ht="15.75">
      <c r="A55" s="47"/>
      <c r="B55" s="47"/>
      <c r="C55" s="48"/>
      <c r="D55" s="52" t="s">
        <v>395</v>
      </c>
      <c r="E55">
        <v>0</v>
      </c>
      <c r="F55">
        <v>0</v>
      </c>
      <c r="G55">
        <v>0</v>
      </c>
      <c r="H55">
        <v>0</v>
      </c>
      <c r="I55" t="e">
        <f>ROUND(#REF!/12*3,2)</f>
        <v>#REF!</v>
      </c>
      <c r="J55" t="e">
        <f>ROUND(#REF!/12*3,2)</f>
        <v>#REF!</v>
      </c>
      <c r="M55" s="21">
        <v>0</v>
      </c>
      <c r="N55" s="10">
        <v>0</v>
      </c>
      <c r="S55">
        <f t="shared" si="30"/>
        <v>0</v>
      </c>
      <c r="T55">
        <f t="shared" si="30"/>
        <v>0</v>
      </c>
      <c r="U55" s="23">
        <f t="shared" si="0"/>
        <v>0</v>
      </c>
      <c r="V55" s="23">
        <f t="shared" si="1"/>
        <v>0</v>
      </c>
    </row>
    <row r="56" spans="1:22" ht="18.75">
      <c r="A56" s="50"/>
      <c r="B56" s="50" t="s">
        <v>62</v>
      </c>
      <c r="C56" s="51" t="s">
        <v>32</v>
      </c>
      <c r="D56" s="43" t="s">
        <v>61</v>
      </c>
      <c r="E56" s="1">
        <f t="shared" ref="E56:V56" si="31">+E53+E54+E55</f>
        <v>1249.7</v>
      </c>
      <c r="F56" s="1">
        <f t="shared" si="31"/>
        <v>72.209999999999994</v>
      </c>
      <c r="G56" s="1">
        <f t="shared" si="31"/>
        <v>104</v>
      </c>
      <c r="H56" s="1">
        <f t="shared" si="31"/>
        <v>6</v>
      </c>
      <c r="I56" s="1" t="e">
        <f t="shared" si="31"/>
        <v>#REF!</v>
      </c>
      <c r="J56" s="13" t="e">
        <f t="shared" si="31"/>
        <v>#REF!</v>
      </c>
      <c r="K56" s="1">
        <f t="shared" si="31"/>
        <v>0</v>
      </c>
      <c r="L56" s="1">
        <f t="shared" si="31"/>
        <v>0</v>
      </c>
      <c r="M56" s="1">
        <f t="shared" si="31"/>
        <v>315</v>
      </c>
      <c r="N56" s="1">
        <f t="shared" si="31"/>
        <v>0</v>
      </c>
      <c r="O56" s="1"/>
      <c r="P56" s="1"/>
      <c r="Q56" s="1">
        <f t="shared" si="31"/>
        <v>1339</v>
      </c>
      <c r="R56" s="1">
        <f t="shared" si="31"/>
        <v>105</v>
      </c>
      <c r="S56" s="1">
        <f t="shared" si="31"/>
        <v>1260</v>
      </c>
      <c r="T56" s="13">
        <f t="shared" si="31"/>
        <v>0</v>
      </c>
      <c r="U56" s="34">
        <f t="shared" si="31"/>
        <v>1260</v>
      </c>
      <c r="V56" s="34">
        <f t="shared" si="31"/>
        <v>105</v>
      </c>
    </row>
    <row r="57" spans="1:22" ht="18.75">
      <c r="A57" s="47">
        <v>39</v>
      </c>
      <c r="B57" s="47"/>
      <c r="C57" s="48"/>
      <c r="D57" s="49" t="s">
        <v>63</v>
      </c>
      <c r="E57">
        <v>910.8</v>
      </c>
      <c r="F57">
        <v>16.91</v>
      </c>
      <c r="G57">
        <v>76</v>
      </c>
      <c r="H57">
        <v>1</v>
      </c>
      <c r="I57" t="e">
        <f>ROUND(#REF!/12*3,2)</f>
        <v>#REF!</v>
      </c>
      <c r="J57" t="e">
        <f>ROUND(#REF!/12*3,2)</f>
        <v>#REF!</v>
      </c>
      <c r="M57" s="21">
        <v>220</v>
      </c>
      <c r="N57" s="21">
        <v>0</v>
      </c>
      <c r="O57" s="21"/>
      <c r="P57" s="21"/>
      <c r="Q57">
        <v>885</v>
      </c>
      <c r="R57" s="29">
        <v>45</v>
      </c>
      <c r="S57">
        <f>ROUND(M57/3*12,2)</f>
        <v>880</v>
      </c>
      <c r="T57">
        <f>ROUND(N57/3*12,2)</f>
        <v>0</v>
      </c>
      <c r="U57" s="23">
        <f t="shared" si="0"/>
        <v>880</v>
      </c>
      <c r="V57" s="23">
        <f>IF(R57&lt;T57,R57,T57)+45</f>
        <v>45</v>
      </c>
    </row>
    <row r="58" spans="1:22" ht="18.75">
      <c r="A58" s="47">
        <v>40</v>
      </c>
      <c r="B58" s="47"/>
      <c r="C58" s="48"/>
      <c r="D58" s="49" t="s">
        <v>64</v>
      </c>
      <c r="E58">
        <v>1265</v>
      </c>
      <c r="F58">
        <v>0</v>
      </c>
      <c r="G58">
        <v>105</v>
      </c>
      <c r="H58">
        <v>0</v>
      </c>
      <c r="I58" t="e">
        <f>ROUND(#REF!/12*3,2)</f>
        <v>#REF!</v>
      </c>
      <c r="J58" t="e">
        <f>ROUND(#REF!/12*3,2)</f>
        <v>#REF!</v>
      </c>
      <c r="M58" s="21">
        <v>300</v>
      </c>
      <c r="N58" s="21">
        <v>0</v>
      </c>
      <c r="O58" s="21"/>
      <c r="P58" s="21"/>
      <c r="Q58">
        <v>1200</v>
      </c>
      <c r="S58">
        <f>ROUND(M58/3*12,2)</f>
        <v>1200</v>
      </c>
      <c r="T58">
        <f>ROUND(N58/3*12,2)</f>
        <v>0</v>
      </c>
      <c r="U58" s="23">
        <f t="shared" si="0"/>
        <v>1200</v>
      </c>
      <c r="V58" s="23">
        <f t="shared" si="1"/>
        <v>0</v>
      </c>
    </row>
    <row r="59" spans="1:22" ht="18.75">
      <c r="A59" s="50"/>
      <c r="B59" s="50" t="s">
        <v>65</v>
      </c>
      <c r="C59" s="51" t="s">
        <v>66</v>
      </c>
      <c r="D59" s="43" t="s">
        <v>63</v>
      </c>
      <c r="E59" s="1">
        <f t="shared" ref="E59:R59" si="32">+E57+E58</f>
        <v>2175.8000000000002</v>
      </c>
      <c r="F59" s="1">
        <f t="shared" si="32"/>
        <v>16.91</v>
      </c>
      <c r="G59" s="1">
        <f t="shared" si="32"/>
        <v>181</v>
      </c>
      <c r="H59" s="1">
        <f t="shared" si="32"/>
        <v>1</v>
      </c>
      <c r="I59" s="1" t="e">
        <f t="shared" si="32"/>
        <v>#REF!</v>
      </c>
      <c r="J59" s="13" t="e">
        <f t="shared" si="32"/>
        <v>#REF!</v>
      </c>
      <c r="K59" s="1">
        <f t="shared" si="32"/>
        <v>0</v>
      </c>
      <c r="L59" s="1">
        <f t="shared" si="32"/>
        <v>0</v>
      </c>
      <c r="M59" s="1">
        <f t="shared" si="32"/>
        <v>520</v>
      </c>
      <c r="N59" s="1">
        <f t="shared" si="32"/>
        <v>0</v>
      </c>
      <c r="O59" s="1"/>
      <c r="P59" s="1"/>
      <c r="Q59" s="1">
        <f t="shared" si="32"/>
        <v>2085</v>
      </c>
      <c r="R59" s="1">
        <f t="shared" si="32"/>
        <v>45</v>
      </c>
      <c r="S59" s="1">
        <f t="shared" ref="S59:V59" si="33">+S57+S58</f>
        <v>2080</v>
      </c>
      <c r="T59" s="13">
        <f t="shared" si="33"/>
        <v>0</v>
      </c>
      <c r="U59" s="34">
        <f t="shared" si="33"/>
        <v>2080</v>
      </c>
      <c r="V59" s="34">
        <f t="shared" si="33"/>
        <v>45</v>
      </c>
    </row>
    <row r="60" spans="1:22" ht="18.75">
      <c r="A60" s="47">
        <v>41</v>
      </c>
      <c r="B60" s="47"/>
      <c r="C60" s="48"/>
      <c r="D60" s="49" t="s">
        <v>67</v>
      </c>
      <c r="E60">
        <v>1814.48</v>
      </c>
      <c r="F60">
        <v>394.92</v>
      </c>
      <c r="G60">
        <v>151</v>
      </c>
      <c r="H60">
        <v>33</v>
      </c>
      <c r="I60" t="e">
        <f>ROUND(#REF!/12*3,2)</f>
        <v>#REF!</v>
      </c>
      <c r="J60" t="e">
        <f>ROUND(#REF!/12*3,2)</f>
        <v>#REF!</v>
      </c>
      <c r="M60" s="24">
        <f>610-100-25</f>
        <v>485</v>
      </c>
      <c r="N60" s="24">
        <f>150-50-5</f>
        <v>95</v>
      </c>
      <c r="O60" s="24"/>
      <c r="P60" s="24"/>
      <c r="Q60">
        <v>1750</v>
      </c>
      <c r="R60">
        <f>120+8</f>
        <v>128</v>
      </c>
      <c r="S60">
        <f>ROUND(M60/3*12,2)</f>
        <v>1940</v>
      </c>
      <c r="T60">
        <f>ROUND(N60/3*12,2)</f>
        <v>380</v>
      </c>
      <c r="U60" s="23">
        <f t="shared" si="0"/>
        <v>1750</v>
      </c>
      <c r="V60" s="23">
        <f>IF(R60&lt;T60,R60,T60)+2</f>
        <v>130</v>
      </c>
    </row>
    <row r="61" spans="1:22" ht="15.75">
      <c r="A61" s="47">
        <v>42</v>
      </c>
      <c r="B61" s="47"/>
      <c r="C61" s="48"/>
      <c r="D61" s="52" t="s">
        <v>396</v>
      </c>
      <c r="E61">
        <v>2414.92</v>
      </c>
      <c r="F61">
        <v>0</v>
      </c>
      <c r="G61">
        <v>201</v>
      </c>
      <c r="H61">
        <v>0</v>
      </c>
      <c r="I61" t="e">
        <f>ROUND(#REF!/12*3,2)</f>
        <v>#REF!</v>
      </c>
      <c r="J61" t="e">
        <f>ROUND(#REF!/12*3,2)</f>
        <v>#REF!</v>
      </c>
      <c r="M61" s="21">
        <f>150+205+215</f>
        <v>570</v>
      </c>
      <c r="N61" s="21"/>
      <c r="O61" s="21"/>
      <c r="P61" s="21"/>
      <c r="Q61" s="29">
        <v>2000</v>
      </c>
      <c r="S61">
        <f>ROUND(M61/3*12,2)</f>
        <v>2280</v>
      </c>
      <c r="T61">
        <f>ROUND(N61/3*12,2)</f>
        <v>0</v>
      </c>
      <c r="U61" s="23">
        <f t="shared" si="0"/>
        <v>2000</v>
      </c>
      <c r="V61" s="23">
        <f t="shared" si="1"/>
        <v>0</v>
      </c>
    </row>
    <row r="62" spans="1:22" ht="18.75">
      <c r="A62" s="50"/>
      <c r="B62" s="50" t="s">
        <v>68</v>
      </c>
      <c r="C62" s="51" t="s">
        <v>69</v>
      </c>
      <c r="D62" s="43" t="s">
        <v>67</v>
      </c>
      <c r="E62" s="1">
        <f t="shared" ref="E62:V62" si="34">+E60+E61</f>
        <v>4229.3999999999996</v>
      </c>
      <c r="F62" s="1">
        <f t="shared" si="34"/>
        <v>394.92</v>
      </c>
      <c r="G62" s="1">
        <f t="shared" si="34"/>
        <v>352</v>
      </c>
      <c r="H62" s="1">
        <f t="shared" si="34"/>
        <v>33</v>
      </c>
      <c r="I62" s="1" t="e">
        <f t="shared" si="34"/>
        <v>#REF!</v>
      </c>
      <c r="J62" s="13" t="e">
        <f t="shared" si="34"/>
        <v>#REF!</v>
      </c>
      <c r="K62" s="1">
        <f t="shared" si="34"/>
        <v>0</v>
      </c>
      <c r="L62" s="1">
        <f t="shared" si="34"/>
        <v>0</v>
      </c>
      <c r="M62" s="1">
        <f t="shared" si="34"/>
        <v>1055</v>
      </c>
      <c r="N62" s="1">
        <f t="shared" si="34"/>
        <v>95</v>
      </c>
      <c r="O62" s="1"/>
      <c r="P62" s="1"/>
      <c r="Q62" s="1">
        <f t="shared" si="34"/>
        <v>3750</v>
      </c>
      <c r="R62" s="1">
        <f t="shared" si="34"/>
        <v>128</v>
      </c>
      <c r="S62" s="1">
        <f t="shared" si="34"/>
        <v>4220</v>
      </c>
      <c r="T62" s="13">
        <f t="shared" si="34"/>
        <v>380</v>
      </c>
      <c r="U62" s="34">
        <f t="shared" si="34"/>
        <v>3750</v>
      </c>
      <c r="V62" s="34">
        <f t="shared" si="34"/>
        <v>130</v>
      </c>
    </row>
    <row r="63" spans="1:22" ht="18.75">
      <c r="A63" s="47">
        <v>45</v>
      </c>
      <c r="B63" s="47"/>
      <c r="C63" s="48"/>
      <c r="D63" s="49" t="s">
        <v>70</v>
      </c>
      <c r="E63">
        <v>1288.67</v>
      </c>
      <c r="F63">
        <v>158.49</v>
      </c>
      <c r="G63">
        <v>107</v>
      </c>
      <c r="H63">
        <v>13</v>
      </c>
      <c r="I63" t="e">
        <f>ROUND(#REF!/12*3,2)</f>
        <v>#REF!</v>
      </c>
      <c r="J63" t="e">
        <f>ROUND(#REF!/12*3,2)</f>
        <v>#REF!</v>
      </c>
      <c r="M63" s="21">
        <v>300</v>
      </c>
      <c r="N63" s="24">
        <f>60-20</f>
        <v>40</v>
      </c>
      <c r="O63" s="24"/>
      <c r="P63" s="24"/>
      <c r="Q63">
        <v>1320</v>
      </c>
      <c r="R63">
        <v>182</v>
      </c>
      <c r="S63">
        <f>ROUND(M63/3*12,2)</f>
        <v>1200</v>
      </c>
      <c r="T63">
        <f>ROUND(N63/3*12,2)</f>
        <v>160</v>
      </c>
      <c r="U63" s="23">
        <f t="shared" si="0"/>
        <v>1200</v>
      </c>
      <c r="V63" s="23">
        <f t="shared" si="1"/>
        <v>160</v>
      </c>
    </row>
    <row r="64" spans="1:22" ht="18.75">
      <c r="A64" s="47">
        <v>46</v>
      </c>
      <c r="B64" s="47"/>
      <c r="C64" s="48"/>
      <c r="D64" s="49" t="s">
        <v>71</v>
      </c>
      <c r="E64">
        <v>1149.54</v>
      </c>
      <c r="F64">
        <v>0</v>
      </c>
      <c r="G64">
        <v>96</v>
      </c>
      <c r="H64">
        <v>0</v>
      </c>
      <c r="I64" t="e">
        <f>ROUND(#REF!/12*3,2)</f>
        <v>#REF!</v>
      </c>
      <c r="J64" t="e">
        <f>ROUND(#REF!/12*3,2)</f>
        <v>#REF!</v>
      </c>
      <c r="M64" s="24">
        <f>300-10</f>
        <v>290</v>
      </c>
      <c r="N64" s="21">
        <v>0</v>
      </c>
      <c r="O64" s="21"/>
      <c r="P64" s="21"/>
      <c r="Q64">
        <v>1167</v>
      </c>
      <c r="S64">
        <f>ROUND(M64/3*12,2)</f>
        <v>1160</v>
      </c>
      <c r="T64">
        <f>ROUND(N64/3*12,2)</f>
        <v>0</v>
      </c>
      <c r="U64" s="23">
        <f t="shared" si="0"/>
        <v>1160</v>
      </c>
      <c r="V64" s="23">
        <f t="shared" si="1"/>
        <v>0</v>
      </c>
    </row>
    <row r="65" spans="1:22" ht="18.75">
      <c r="A65" s="50"/>
      <c r="B65" s="50" t="s">
        <v>72</v>
      </c>
      <c r="C65" s="51" t="s">
        <v>73</v>
      </c>
      <c r="D65" s="43" t="s">
        <v>70</v>
      </c>
      <c r="E65" s="1">
        <f t="shared" ref="E65:R65" si="35">+E63+E64</f>
        <v>2438.21</v>
      </c>
      <c r="F65" s="1">
        <f t="shared" si="35"/>
        <v>158.49</v>
      </c>
      <c r="G65" s="1">
        <f t="shared" si="35"/>
        <v>203</v>
      </c>
      <c r="H65" s="1">
        <f t="shared" si="35"/>
        <v>13</v>
      </c>
      <c r="I65" s="1" t="e">
        <f t="shared" si="35"/>
        <v>#REF!</v>
      </c>
      <c r="J65" s="13" t="e">
        <f t="shared" si="35"/>
        <v>#REF!</v>
      </c>
      <c r="K65" s="1">
        <f t="shared" si="35"/>
        <v>0</v>
      </c>
      <c r="L65" s="1">
        <f t="shared" si="35"/>
        <v>0</v>
      </c>
      <c r="M65" s="1">
        <f t="shared" si="35"/>
        <v>590</v>
      </c>
      <c r="N65" s="1">
        <f t="shared" si="35"/>
        <v>40</v>
      </c>
      <c r="O65" s="1"/>
      <c r="P65" s="1"/>
      <c r="Q65" s="1">
        <f t="shared" si="35"/>
        <v>2487</v>
      </c>
      <c r="R65" s="1">
        <f t="shared" si="35"/>
        <v>182</v>
      </c>
      <c r="S65" s="1">
        <f t="shared" ref="S65:V65" si="36">+S63+S64</f>
        <v>2360</v>
      </c>
      <c r="T65" s="13">
        <f t="shared" si="36"/>
        <v>160</v>
      </c>
      <c r="U65" s="34">
        <f t="shared" si="36"/>
        <v>2360</v>
      </c>
      <c r="V65" s="34">
        <f t="shared" si="36"/>
        <v>160</v>
      </c>
    </row>
    <row r="66" spans="1:22" ht="18.75">
      <c r="A66" s="47">
        <v>47</v>
      </c>
      <c r="B66" s="47"/>
      <c r="C66" s="48"/>
      <c r="D66" s="49" t="s">
        <v>74</v>
      </c>
      <c r="E66">
        <v>1328.67</v>
      </c>
      <c r="F66">
        <v>246.47</v>
      </c>
      <c r="G66">
        <v>111</v>
      </c>
      <c r="H66">
        <v>21</v>
      </c>
      <c r="I66" t="e">
        <f>ROUND(#REF!/12*3,2)</f>
        <v>#REF!</v>
      </c>
      <c r="J66" t="e">
        <f>ROUND(#REF!/12*3,2)</f>
        <v>#REF!</v>
      </c>
      <c r="M66" s="21">
        <v>305.5</v>
      </c>
      <c r="N66" s="21">
        <v>25.5</v>
      </c>
      <c r="O66" s="21"/>
      <c r="P66" s="21"/>
      <c r="Q66">
        <v>1300</v>
      </c>
      <c r="R66">
        <v>50</v>
      </c>
      <c r="S66">
        <f>ROUND(M66/3*12,2)</f>
        <v>1222</v>
      </c>
      <c r="T66">
        <f>ROUND(N66/3*12,2)</f>
        <v>102</v>
      </c>
      <c r="U66" s="23">
        <f t="shared" si="0"/>
        <v>1222</v>
      </c>
      <c r="V66" s="23">
        <f t="shared" si="1"/>
        <v>50</v>
      </c>
    </row>
    <row r="67" spans="1:22" ht="37.5">
      <c r="A67" s="47">
        <v>48</v>
      </c>
      <c r="B67" s="47"/>
      <c r="C67" s="48"/>
      <c r="D67" s="49" t="s">
        <v>75</v>
      </c>
      <c r="E67">
        <v>238.79</v>
      </c>
      <c r="F67">
        <v>0</v>
      </c>
      <c r="G67">
        <v>20</v>
      </c>
      <c r="H67">
        <v>0</v>
      </c>
      <c r="I67" t="e">
        <f>ROUND(#REF!/12*3,2)</f>
        <v>#REF!</v>
      </c>
      <c r="J67" t="e">
        <f>ROUND(#REF!/12*3,2)</f>
        <v>#REF!</v>
      </c>
      <c r="M67" s="21">
        <v>62.41</v>
      </c>
      <c r="N67" s="21">
        <v>0</v>
      </c>
      <c r="O67" s="21"/>
      <c r="P67" s="21"/>
      <c r="Q67">
        <v>253.24</v>
      </c>
      <c r="S67">
        <f>ROUND(M67/3*12,2)</f>
        <v>249.64</v>
      </c>
      <c r="T67">
        <f>ROUND(N67/3*12,2)</f>
        <v>0</v>
      </c>
      <c r="U67" s="23">
        <f t="shared" si="0"/>
        <v>249.64</v>
      </c>
      <c r="V67" s="23">
        <f t="shared" si="1"/>
        <v>0</v>
      </c>
    </row>
    <row r="68" spans="1:22" ht="18.75">
      <c r="A68" s="50"/>
      <c r="B68" s="50" t="s">
        <v>76</v>
      </c>
      <c r="C68" s="51" t="s">
        <v>77</v>
      </c>
      <c r="D68" s="43" t="s">
        <v>74</v>
      </c>
      <c r="E68" s="1">
        <f t="shared" ref="E68:R68" si="37">+E66+E67</f>
        <v>1567.46</v>
      </c>
      <c r="F68" s="1">
        <f t="shared" si="37"/>
        <v>246.47</v>
      </c>
      <c r="G68" s="1">
        <f t="shared" si="37"/>
        <v>131</v>
      </c>
      <c r="H68" s="1">
        <f t="shared" si="37"/>
        <v>21</v>
      </c>
      <c r="I68" s="1" t="e">
        <f t="shared" si="37"/>
        <v>#REF!</v>
      </c>
      <c r="J68" s="13" t="e">
        <f t="shared" si="37"/>
        <v>#REF!</v>
      </c>
      <c r="K68" s="1">
        <f t="shared" si="37"/>
        <v>0</v>
      </c>
      <c r="L68" s="1">
        <f t="shared" si="37"/>
        <v>0</v>
      </c>
      <c r="M68" s="1">
        <f t="shared" si="37"/>
        <v>367.90999999999997</v>
      </c>
      <c r="N68" s="1">
        <f t="shared" si="37"/>
        <v>25.5</v>
      </c>
      <c r="O68" s="1"/>
      <c r="P68" s="1"/>
      <c r="Q68" s="1">
        <f t="shared" si="37"/>
        <v>1553.24</v>
      </c>
      <c r="R68" s="1">
        <f t="shared" si="37"/>
        <v>50</v>
      </c>
      <c r="S68" s="1">
        <f t="shared" ref="S68:V68" si="38">+S66+S67</f>
        <v>1471.6399999999999</v>
      </c>
      <c r="T68" s="13">
        <f t="shared" si="38"/>
        <v>102</v>
      </c>
      <c r="U68" s="34">
        <f t="shared" si="38"/>
        <v>1471.6399999999999</v>
      </c>
      <c r="V68" s="34">
        <f t="shared" si="38"/>
        <v>50</v>
      </c>
    </row>
    <row r="69" spans="1:22" ht="18.75">
      <c r="A69" s="47">
        <v>51</v>
      </c>
      <c r="B69" s="47"/>
      <c r="C69" s="48"/>
      <c r="D69" s="49" t="s">
        <v>78</v>
      </c>
      <c r="E69">
        <v>782.1</v>
      </c>
      <c r="F69">
        <v>18.399999999999999</v>
      </c>
      <c r="G69">
        <v>65</v>
      </c>
      <c r="H69">
        <v>2</v>
      </c>
      <c r="I69" t="e">
        <f>ROUND(#REF!/12*3,2)</f>
        <v>#REF!</v>
      </c>
      <c r="J69" t="e">
        <f>ROUND(#REF!/12*3,2)</f>
        <v>#REF!</v>
      </c>
      <c r="M69" s="24">
        <f>220-20</f>
        <v>200</v>
      </c>
      <c r="N69" s="21">
        <v>6</v>
      </c>
      <c r="O69" s="21"/>
      <c r="P69" s="21"/>
      <c r="Q69">
        <v>805</v>
      </c>
      <c r="R69">
        <v>20</v>
      </c>
      <c r="S69">
        <f>ROUND(M69/3*12,2)</f>
        <v>800</v>
      </c>
      <c r="T69">
        <f>ROUND(N69/3*12,2)</f>
        <v>24</v>
      </c>
      <c r="U69" s="23">
        <f t="shared" si="0"/>
        <v>800</v>
      </c>
      <c r="V69" s="23">
        <f t="shared" si="1"/>
        <v>20</v>
      </c>
    </row>
    <row r="70" spans="1:22" ht="18.75">
      <c r="A70" s="47">
        <v>52</v>
      </c>
      <c r="B70" s="47"/>
      <c r="C70" s="48"/>
      <c r="D70" s="49" t="s">
        <v>79</v>
      </c>
      <c r="E70">
        <v>2383.25</v>
      </c>
      <c r="F70">
        <v>0</v>
      </c>
      <c r="G70">
        <v>199</v>
      </c>
      <c r="H70">
        <v>0</v>
      </c>
      <c r="I70" t="e">
        <f>ROUND(#REF!/12*3,2)</f>
        <v>#REF!</v>
      </c>
      <c r="J70" t="e">
        <f>ROUND(#REF!/12*3,2)</f>
        <v>#REF!</v>
      </c>
      <c r="M70" s="21">
        <v>440</v>
      </c>
      <c r="N70" s="21"/>
      <c r="O70" s="21"/>
      <c r="P70" s="21"/>
      <c r="Q70">
        <v>2607</v>
      </c>
      <c r="S70">
        <f>ROUND(M70/3*12,2)</f>
        <v>1760</v>
      </c>
      <c r="T70">
        <f>ROUND(N70/3*12,2)</f>
        <v>0</v>
      </c>
      <c r="U70" s="23">
        <f t="shared" ref="U70:U133" si="39">IF(Q70&lt;S70,Q70,S70)</f>
        <v>1760</v>
      </c>
      <c r="V70" s="23">
        <f t="shared" ref="V70:V133" si="40">IF(R70&lt;T70,R70,T70)</f>
        <v>0</v>
      </c>
    </row>
    <row r="71" spans="1:22" ht="18.75">
      <c r="A71" s="50"/>
      <c r="B71" s="50" t="s">
        <v>80</v>
      </c>
      <c r="C71" s="51" t="s">
        <v>81</v>
      </c>
      <c r="D71" s="43" t="s">
        <v>78</v>
      </c>
      <c r="E71" s="1">
        <f t="shared" ref="E71:R71" si="41">+E69+E70</f>
        <v>3165.35</v>
      </c>
      <c r="F71" s="1">
        <f t="shared" si="41"/>
        <v>18.399999999999999</v>
      </c>
      <c r="G71" s="1">
        <f t="shared" si="41"/>
        <v>264</v>
      </c>
      <c r="H71" s="1">
        <f t="shared" si="41"/>
        <v>2</v>
      </c>
      <c r="I71" s="1" t="e">
        <f t="shared" si="41"/>
        <v>#REF!</v>
      </c>
      <c r="J71" s="13" t="e">
        <f t="shared" si="41"/>
        <v>#REF!</v>
      </c>
      <c r="K71" s="1">
        <f t="shared" si="41"/>
        <v>0</v>
      </c>
      <c r="L71" s="1">
        <f t="shared" si="41"/>
        <v>0</v>
      </c>
      <c r="M71" s="1">
        <f t="shared" si="41"/>
        <v>640</v>
      </c>
      <c r="N71" s="1">
        <f t="shared" si="41"/>
        <v>6</v>
      </c>
      <c r="O71" s="1"/>
      <c r="P71" s="1"/>
      <c r="Q71" s="1">
        <f t="shared" si="41"/>
        <v>3412</v>
      </c>
      <c r="R71" s="1">
        <f t="shared" si="41"/>
        <v>20</v>
      </c>
      <c r="S71" s="1">
        <f t="shared" ref="S71:V71" si="42">+S69+S70</f>
        <v>2560</v>
      </c>
      <c r="T71" s="13">
        <f t="shared" si="42"/>
        <v>24</v>
      </c>
      <c r="U71" s="34">
        <f t="shared" si="42"/>
        <v>2560</v>
      </c>
      <c r="V71" s="34">
        <f t="shared" si="42"/>
        <v>20</v>
      </c>
    </row>
    <row r="72" spans="1:22" ht="18.75">
      <c r="A72" s="47">
        <v>53</v>
      </c>
      <c r="B72" s="47"/>
      <c r="C72" s="48"/>
      <c r="D72" s="49" t="s">
        <v>82</v>
      </c>
      <c r="E72">
        <v>2362.84</v>
      </c>
      <c r="F72">
        <v>261.02</v>
      </c>
      <c r="G72">
        <v>197</v>
      </c>
      <c r="H72">
        <v>22</v>
      </c>
      <c r="I72" t="e">
        <f>ROUND(#REF!/12*3,2)</f>
        <v>#REF!</v>
      </c>
      <c r="J72" t="e">
        <f>ROUND(#REF!/12*3,2)</f>
        <v>#REF!</v>
      </c>
      <c r="M72" s="21">
        <v>600</v>
      </c>
      <c r="N72" s="24">
        <f>220-100</f>
        <v>120</v>
      </c>
      <c r="O72" s="24"/>
      <c r="P72" s="24"/>
      <c r="Q72">
        <v>2500</v>
      </c>
      <c r="R72">
        <v>300</v>
      </c>
      <c r="S72">
        <f t="shared" ref="S72:T74" si="43">ROUND(M72/3*12,2)</f>
        <v>2400</v>
      </c>
      <c r="T72">
        <f t="shared" si="43"/>
        <v>480</v>
      </c>
      <c r="U72" s="23">
        <f t="shared" si="39"/>
        <v>2400</v>
      </c>
      <c r="V72" s="23">
        <f t="shared" si="40"/>
        <v>300</v>
      </c>
    </row>
    <row r="73" spans="1:22" ht="31.5">
      <c r="A73" s="47">
        <v>54</v>
      </c>
      <c r="B73" s="47"/>
      <c r="C73" s="48"/>
      <c r="D73" s="52" t="s">
        <v>397</v>
      </c>
      <c r="E73">
        <v>1691.84</v>
      </c>
      <c r="F73">
        <v>0</v>
      </c>
      <c r="G73">
        <v>141</v>
      </c>
      <c r="H73">
        <v>0</v>
      </c>
      <c r="I73" t="e">
        <f>ROUND(#REF!/12*3,2)</f>
        <v>#REF!</v>
      </c>
      <c r="J73" t="e">
        <f>ROUND(#REF!/12*3,2)</f>
        <v>#REF!</v>
      </c>
      <c r="M73" s="21">
        <v>423</v>
      </c>
      <c r="N73" s="21">
        <v>0</v>
      </c>
      <c r="O73" s="21"/>
      <c r="P73" s="21"/>
      <c r="Q73" s="29">
        <v>1768.74</v>
      </c>
      <c r="S73">
        <f t="shared" si="43"/>
        <v>1692</v>
      </c>
      <c r="T73">
        <f t="shared" si="43"/>
        <v>0</v>
      </c>
      <c r="U73" s="23">
        <f t="shared" si="39"/>
        <v>1692</v>
      </c>
      <c r="V73" s="23">
        <f t="shared" si="40"/>
        <v>0</v>
      </c>
    </row>
    <row r="74" spans="1:22" ht="37.5">
      <c r="A74" s="47">
        <v>56</v>
      </c>
      <c r="B74" s="47"/>
      <c r="C74" s="48"/>
      <c r="D74" s="49" t="s">
        <v>83</v>
      </c>
      <c r="E74">
        <v>821.61</v>
      </c>
      <c r="F74">
        <v>0</v>
      </c>
      <c r="G74">
        <v>68</v>
      </c>
      <c r="H74">
        <v>0</v>
      </c>
      <c r="I74" t="e">
        <f>ROUND(#REF!/12*3,2)</f>
        <v>#REF!</v>
      </c>
      <c r="J74" t="e">
        <f>ROUND(#REF!/12*3,2)</f>
        <v>#REF!</v>
      </c>
      <c r="M74" s="21">
        <v>204</v>
      </c>
      <c r="N74" s="21">
        <v>0</v>
      </c>
      <c r="O74" s="21"/>
      <c r="P74" s="21"/>
      <c r="Q74">
        <v>454.28</v>
      </c>
      <c r="S74">
        <f t="shared" si="43"/>
        <v>816</v>
      </c>
      <c r="T74">
        <f t="shared" si="43"/>
        <v>0</v>
      </c>
      <c r="U74" s="23">
        <f t="shared" si="39"/>
        <v>454.28</v>
      </c>
      <c r="V74" s="23">
        <f t="shared" si="40"/>
        <v>0</v>
      </c>
    </row>
    <row r="75" spans="1:22" ht="18.75">
      <c r="A75" s="50"/>
      <c r="B75" s="50" t="s">
        <v>84</v>
      </c>
      <c r="C75" s="51" t="s">
        <v>69</v>
      </c>
      <c r="D75" s="43" t="s">
        <v>82</v>
      </c>
      <c r="E75" s="1">
        <f t="shared" ref="E75:V75" si="44">+E72+E73+E74</f>
        <v>4876.29</v>
      </c>
      <c r="F75" s="1">
        <f t="shared" si="44"/>
        <v>261.02</v>
      </c>
      <c r="G75" s="1">
        <f t="shared" si="44"/>
        <v>406</v>
      </c>
      <c r="H75" s="1">
        <f t="shared" si="44"/>
        <v>22</v>
      </c>
      <c r="I75" s="1" t="e">
        <f t="shared" si="44"/>
        <v>#REF!</v>
      </c>
      <c r="J75" s="13" t="e">
        <f t="shared" si="44"/>
        <v>#REF!</v>
      </c>
      <c r="K75" s="1">
        <f t="shared" si="44"/>
        <v>0</v>
      </c>
      <c r="L75" s="1">
        <f t="shared" si="44"/>
        <v>0</v>
      </c>
      <c r="M75" s="1">
        <f t="shared" si="44"/>
        <v>1227</v>
      </c>
      <c r="N75" s="1">
        <f t="shared" si="44"/>
        <v>120</v>
      </c>
      <c r="O75" s="1"/>
      <c r="P75" s="1"/>
      <c r="Q75" s="1">
        <f t="shared" si="44"/>
        <v>4723.0199999999995</v>
      </c>
      <c r="R75" s="1">
        <f t="shared" si="44"/>
        <v>300</v>
      </c>
      <c r="S75" s="1">
        <f t="shared" si="44"/>
        <v>4908</v>
      </c>
      <c r="T75" s="13">
        <f t="shared" si="44"/>
        <v>480</v>
      </c>
      <c r="U75" s="34">
        <f t="shared" si="44"/>
        <v>4546.28</v>
      </c>
      <c r="V75" s="34">
        <f t="shared" si="44"/>
        <v>300</v>
      </c>
    </row>
    <row r="76" spans="1:22" ht="18.75">
      <c r="A76" s="47">
        <v>57</v>
      </c>
      <c r="B76" s="47"/>
      <c r="C76" s="48"/>
      <c r="D76" s="49" t="s">
        <v>85</v>
      </c>
      <c r="E76">
        <v>3061.65</v>
      </c>
      <c r="F76">
        <v>400.2</v>
      </c>
      <c r="G76">
        <v>255</v>
      </c>
      <c r="H76">
        <v>33</v>
      </c>
      <c r="I76" t="e">
        <f>ROUND(#REF!/12*3,2)</f>
        <v>#REF!</v>
      </c>
      <c r="J76" t="e">
        <f>ROUND(#REF!/12*3,2)</f>
        <v>#REF!</v>
      </c>
      <c r="M76" s="21">
        <v>760</v>
      </c>
      <c r="N76" s="24">
        <f>100-25</f>
        <v>75</v>
      </c>
      <c r="O76" s="24"/>
      <c r="P76" s="24"/>
      <c r="Q76">
        <v>3150</v>
      </c>
      <c r="R76">
        <v>450</v>
      </c>
      <c r="S76">
        <f t="shared" ref="S76:T78" si="45">ROUND(M76/3*12,2)</f>
        <v>3040</v>
      </c>
      <c r="T76">
        <f t="shared" si="45"/>
        <v>300</v>
      </c>
      <c r="U76" s="23">
        <f t="shared" si="39"/>
        <v>3040</v>
      </c>
      <c r="V76" s="23">
        <f t="shared" si="40"/>
        <v>300</v>
      </c>
    </row>
    <row r="77" spans="1:22" ht="18.75">
      <c r="A77" s="47">
        <v>58</v>
      </c>
      <c r="B77" s="47"/>
      <c r="C77" s="48"/>
      <c r="D77" s="49" t="s">
        <v>86</v>
      </c>
      <c r="E77">
        <v>3488.05</v>
      </c>
      <c r="F77">
        <v>0</v>
      </c>
      <c r="G77">
        <v>291</v>
      </c>
      <c r="H77">
        <v>0</v>
      </c>
      <c r="I77" t="e">
        <f>ROUND(#REF!/12*3,2)</f>
        <v>#REF!</v>
      </c>
      <c r="J77" t="e">
        <f>ROUND(#REF!/12*3,2)</f>
        <v>#REF!</v>
      </c>
      <c r="M77" s="21">
        <v>780</v>
      </c>
      <c r="N77" s="21">
        <v>0</v>
      </c>
      <c r="O77" s="21"/>
      <c r="P77" s="21"/>
      <c r="Q77">
        <v>3400.38</v>
      </c>
      <c r="S77">
        <f t="shared" si="45"/>
        <v>3120</v>
      </c>
      <c r="T77">
        <f t="shared" si="45"/>
        <v>0</v>
      </c>
      <c r="U77" s="23">
        <f t="shared" si="39"/>
        <v>3120</v>
      </c>
      <c r="V77" s="23">
        <f t="shared" si="40"/>
        <v>0</v>
      </c>
    </row>
    <row r="78" spans="1:22" ht="37.5">
      <c r="A78" s="47">
        <v>59</v>
      </c>
      <c r="B78" s="47"/>
      <c r="C78" s="48"/>
      <c r="D78" s="49" t="s">
        <v>87</v>
      </c>
      <c r="E78">
        <v>0</v>
      </c>
      <c r="F78">
        <v>0</v>
      </c>
      <c r="G78">
        <v>0</v>
      </c>
      <c r="H78">
        <v>0</v>
      </c>
      <c r="I78" t="e">
        <f>ROUND(#REF!/12*3,2)</f>
        <v>#REF!</v>
      </c>
      <c r="J78" t="e">
        <f>ROUND(#REF!/12*3,2)</f>
        <v>#REF!</v>
      </c>
      <c r="M78" s="21">
        <v>0</v>
      </c>
      <c r="N78" s="21">
        <v>0</v>
      </c>
      <c r="O78" s="21"/>
      <c r="P78" s="21"/>
      <c r="S78">
        <f t="shared" si="45"/>
        <v>0</v>
      </c>
      <c r="T78">
        <f t="shared" si="45"/>
        <v>0</v>
      </c>
      <c r="U78" s="23">
        <f t="shared" si="39"/>
        <v>0</v>
      </c>
      <c r="V78" s="23">
        <f t="shared" si="40"/>
        <v>0</v>
      </c>
    </row>
    <row r="79" spans="1:22" ht="18.75">
      <c r="A79" s="50"/>
      <c r="B79" s="50" t="s">
        <v>88</v>
      </c>
      <c r="C79" s="51" t="s">
        <v>69</v>
      </c>
      <c r="D79" s="43" t="s">
        <v>85</v>
      </c>
      <c r="E79" s="1">
        <f t="shared" ref="E79:R79" si="46">+E76+E77+E78</f>
        <v>6549.7000000000007</v>
      </c>
      <c r="F79" s="1">
        <f t="shared" si="46"/>
        <v>400.2</v>
      </c>
      <c r="G79" s="1">
        <f t="shared" si="46"/>
        <v>546</v>
      </c>
      <c r="H79" s="1">
        <f t="shared" si="46"/>
        <v>33</v>
      </c>
      <c r="I79" s="1" t="e">
        <f t="shared" si="46"/>
        <v>#REF!</v>
      </c>
      <c r="J79" s="13" t="e">
        <f t="shared" si="46"/>
        <v>#REF!</v>
      </c>
      <c r="K79" s="1">
        <f t="shared" si="46"/>
        <v>0</v>
      </c>
      <c r="L79" s="1">
        <f t="shared" si="46"/>
        <v>0</v>
      </c>
      <c r="M79" s="1">
        <f t="shared" si="46"/>
        <v>1540</v>
      </c>
      <c r="N79" s="1">
        <f t="shared" si="46"/>
        <v>75</v>
      </c>
      <c r="O79" s="1"/>
      <c r="P79" s="1"/>
      <c r="Q79" s="1">
        <f t="shared" si="46"/>
        <v>6550.38</v>
      </c>
      <c r="R79" s="1">
        <f t="shared" si="46"/>
        <v>450</v>
      </c>
      <c r="S79" s="1">
        <f t="shared" ref="S79:V79" si="47">+S76+S77+S78</f>
        <v>6160</v>
      </c>
      <c r="T79" s="13">
        <f t="shared" si="47"/>
        <v>300</v>
      </c>
      <c r="U79" s="34">
        <f t="shared" si="47"/>
        <v>6160</v>
      </c>
      <c r="V79" s="34">
        <f t="shared" si="47"/>
        <v>300</v>
      </c>
    </row>
    <row r="80" spans="1:22" ht="18.75">
      <c r="A80" s="47">
        <v>60</v>
      </c>
      <c r="B80" s="47"/>
      <c r="C80" s="48"/>
      <c r="D80" s="49" t="s">
        <v>89</v>
      </c>
      <c r="E80">
        <v>2376</v>
      </c>
      <c r="F80">
        <v>299</v>
      </c>
      <c r="G80">
        <v>198</v>
      </c>
      <c r="H80">
        <v>25</v>
      </c>
      <c r="I80" t="e">
        <f>ROUND(#REF!/12*3,2)</f>
        <v>#REF!</v>
      </c>
      <c r="J80" t="e">
        <f>ROUND(#REF!/12*3,2)</f>
        <v>#REF!</v>
      </c>
      <c r="M80" s="21">
        <v>595</v>
      </c>
      <c r="N80" s="24">
        <f>182-82-20</f>
        <v>80</v>
      </c>
      <c r="O80" s="24"/>
      <c r="P80" s="24"/>
      <c r="Q80">
        <v>2380</v>
      </c>
      <c r="R80">
        <v>385</v>
      </c>
      <c r="S80">
        <f>ROUND(M80/3*12,2)</f>
        <v>2380</v>
      </c>
      <c r="T80">
        <f>ROUND(N80/3*12,2)</f>
        <v>320</v>
      </c>
      <c r="U80" s="23">
        <f t="shared" si="39"/>
        <v>2380</v>
      </c>
      <c r="V80" s="23">
        <f t="shared" si="40"/>
        <v>320</v>
      </c>
    </row>
    <row r="81" spans="1:22" ht="18.75">
      <c r="A81" s="47">
        <v>61</v>
      </c>
      <c r="B81" s="47"/>
      <c r="C81" s="48"/>
      <c r="D81" s="49" t="s">
        <v>90</v>
      </c>
      <c r="E81">
        <v>1809.3</v>
      </c>
      <c r="F81">
        <v>0</v>
      </c>
      <c r="G81">
        <v>151</v>
      </c>
      <c r="H81">
        <v>0</v>
      </c>
      <c r="I81" t="e">
        <f>ROUND(#REF!/12*3,2)</f>
        <v>#REF!</v>
      </c>
      <c r="J81" t="e">
        <f>ROUND(#REF!/12*3,2)</f>
        <v>#REF!</v>
      </c>
      <c r="M81" s="21">
        <v>411</v>
      </c>
      <c r="N81" s="21">
        <v>0</v>
      </c>
      <c r="O81" s="21"/>
      <c r="P81" s="21"/>
      <c r="Q81">
        <v>1746.65</v>
      </c>
      <c r="S81">
        <f>ROUND(M81/3*12,2)</f>
        <v>1644</v>
      </c>
      <c r="T81">
        <f>ROUND(N81/3*12,2)</f>
        <v>0</v>
      </c>
      <c r="U81" s="23">
        <f t="shared" si="39"/>
        <v>1644</v>
      </c>
      <c r="V81" s="23">
        <f t="shared" si="40"/>
        <v>0</v>
      </c>
    </row>
    <row r="82" spans="1:22" ht="18.75">
      <c r="A82" s="50"/>
      <c r="B82" s="50" t="s">
        <v>91</v>
      </c>
      <c r="C82" s="51" t="s">
        <v>92</v>
      </c>
      <c r="D82" s="43" t="s">
        <v>89</v>
      </c>
      <c r="E82" s="3">
        <f t="shared" ref="E82:R82" si="48">+E80+E81</f>
        <v>4185.3</v>
      </c>
      <c r="F82" s="3">
        <f t="shared" si="48"/>
        <v>299</v>
      </c>
      <c r="G82" s="3">
        <f t="shared" si="48"/>
        <v>349</v>
      </c>
      <c r="H82" s="3">
        <f t="shared" si="48"/>
        <v>25</v>
      </c>
      <c r="I82" s="3" t="e">
        <f t="shared" si="48"/>
        <v>#REF!</v>
      </c>
      <c r="J82" s="16" t="e">
        <f t="shared" si="48"/>
        <v>#REF!</v>
      </c>
      <c r="K82" s="3">
        <f t="shared" si="48"/>
        <v>0</v>
      </c>
      <c r="L82" s="3">
        <f t="shared" si="48"/>
        <v>0</v>
      </c>
      <c r="M82" s="3">
        <f t="shared" si="48"/>
        <v>1006</v>
      </c>
      <c r="N82" s="3">
        <f t="shared" si="48"/>
        <v>80</v>
      </c>
      <c r="O82" s="3"/>
      <c r="P82" s="3"/>
      <c r="Q82" s="3">
        <f t="shared" si="48"/>
        <v>4126.6499999999996</v>
      </c>
      <c r="R82" s="3">
        <f t="shared" si="48"/>
        <v>385</v>
      </c>
      <c r="S82" s="3">
        <f t="shared" ref="S82:V82" si="49">+S80+S81</f>
        <v>4024</v>
      </c>
      <c r="T82" s="16">
        <f t="shared" si="49"/>
        <v>320</v>
      </c>
      <c r="U82" s="34">
        <f t="shared" si="49"/>
        <v>4024</v>
      </c>
      <c r="V82" s="34">
        <f t="shared" si="49"/>
        <v>320</v>
      </c>
    </row>
    <row r="83" spans="1:22" ht="18.75">
      <c r="A83" s="47">
        <v>62</v>
      </c>
      <c r="B83" s="47"/>
      <c r="C83" s="48"/>
      <c r="D83" s="49" t="s">
        <v>93</v>
      </c>
      <c r="E83">
        <v>500.2</v>
      </c>
      <c r="F83">
        <v>0</v>
      </c>
      <c r="G83">
        <v>42</v>
      </c>
      <c r="H83">
        <v>0</v>
      </c>
      <c r="I83" t="e">
        <f>ROUND(#REF!/12*3,2)</f>
        <v>#REF!</v>
      </c>
      <c r="J83" t="e">
        <f>ROUND(#REF!/12*3,2)</f>
        <v>#REF!</v>
      </c>
      <c r="M83" s="24">
        <f>130-10</f>
        <v>120</v>
      </c>
      <c r="N83" s="21">
        <v>0</v>
      </c>
      <c r="O83" s="21"/>
      <c r="P83" s="21"/>
      <c r="Q83">
        <v>500</v>
      </c>
      <c r="S83">
        <f>ROUND(M83/3*12,2)</f>
        <v>480</v>
      </c>
      <c r="T83">
        <f>ROUND(N83/3*12,2)</f>
        <v>0</v>
      </c>
      <c r="U83" s="23">
        <f t="shared" si="39"/>
        <v>480</v>
      </c>
      <c r="V83" s="23">
        <f t="shared" si="40"/>
        <v>0</v>
      </c>
    </row>
    <row r="84" spans="1:22" ht="31.5">
      <c r="A84" s="47">
        <v>63</v>
      </c>
      <c r="B84" s="47"/>
      <c r="C84" s="48"/>
      <c r="D84" s="52" t="s">
        <v>398</v>
      </c>
      <c r="E84">
        <v>2238.5</v>
      </c>
      <c r="F84">
        <v>0</v>
      </c>
      <c r="G84">
        <v>187</v>
      </c>
      <c r="H84">
        <v>0</v>
      </c>
      <c r="I84" t="e">
        <f>ROUND(#REF!/12*3,2)</f>
        <v>#REF!</v>
      </c>
      <c r="J84" t="e">
        <f>ROUND(#REF!/12*3,2)</f>
        <v>#REF!</v>
      </c>
      <c r="M84" s="24">
        <f>661-61-30</f>
        <v>570</v>
      </c>
      <c r="N84" s="21">
        <v>0</v>
      </c>
      <c r="O84" s="21"/>
      <c r="P84" s="21"/>
      <c r="Q84">
        <v>2890</v>
      </c>
      <c r="S84">
        <f>ROUND(M84/3*12,2)</f>
        <v>2280</v>
      </c>
      <c r="T84">
        <f>ROUND(N84/3*12,2)</f>
        <v>0</v>
      </c>
      <c r="U84" s="23">
        <f t="shared" si="39"/>
        <v>2280</v>
      </c>
      <c r="V84" s="23">
        <f t="shared" si="40"/>
        <v>0</v>
      </c>
    </row>
    <row r="85" spans="1:22" ht="18.75">
      <c r="A85" s="50"/>
      <c r="B85" s="50" t="s">
        <v>94</v>
      </c>
      <c r="C85" s="51" t="s">
        <v>36</v>
      </c>
      <c r="D85" s="43" t="s">
        <v>93</v>
      </c>
      <c r="E85" s="1">
        <f t="shared" ref="E85:V85" si="50">+E83+E84</f>
        <v>2738.7</v>
      </c>
      <c r="F85" s="1">
        <f t="shared" si="50"/>
        <v>0</v>
      </c>
      <c r="G85" s="1">
        <f t="shared" si="50"/>
        <v>229</v>
      </c>
      <c r="H85" s="1">
        <f t="shared" si="50"/>
        <v>0</v>
      </c>
      <c r="I85" s="1" t="e">
        <f t="shared" si="50"/>
        <v>#REF!</v>
      </c>
      <c r="J85" s="13" t="e">
        <f t="shared" si="50"/>
        <v>#REF!</v>
      </c>
      <c r="K85" s="1">
        <f t="shared" si="50"/>
        <v>0</v>
      </c>
      <c r="L85" s="1">
        <f t="shared" si="50"/>
        <v>0</v>
      </c>
      <c r="M85" s="1">
        <f t="shared" si="50"/>
        <v>690</v>
      </c>
      <c r="N85" s="1">
        <f t="shared" si="50"/>
        <v>0</v>
      </c>
      <c r="O85" s="1"/>
      <c r="P85" s="1"/>
      <c r="Q85" s="1">
        <f t="shared" si="50"/>
        <v>3390</v>
      </c>
      <c r="R85" s="1">
        <f t="shared" si="50"/>
        <v>0</v>
      </c>
      <c r="S85" s="1">
        <f t="shared" si="50"/>
        <v>2760</v>
      </c>
      <c r="T85" s="13">
        <f t="shared" si="50"/>
        <v>0</v>
      </c>
      <c r="U85" s="34">
        <f t="shared" si="50"/>
        <v>2760</v>
      </c>
      <c r="V85" s="34">
        <f t="shared" si="50"/>
        <v>0</v>
      </c>
    </row>
    <row r="86" spans="1:22" ht="18.75">
      <c r="A86" s="50">
        <v>65</v>
      </c>
      <c r="B86" s="50" t="s">
        <v>95</v>
      </c>
      <c r="C86" s="51" t="s">
        <v>96</v>
      </c>
      <c r="D86" s="43" t="s">
        <v>97</v>
      </c>
      <c r="E86">
        <v>678.25</v>
      </c>
      <c r="F86">
        <v>0</v>
      </c>
      <c r="G86">
        <v>57</v>
      </c>
      <c r="H86">
        <v>0</v>
      </c>
      <c r="I86" t="e">
        <f>ROUND(#REF!/12*3,2)</f>
        <v>#REF!</v>
      </c>
      <c r="J86" t="e">
        <f>ROUND(#REF!/12*3,2)</f>
        <v>#REF!</v>
      </c>
      <c r="M86" s="21">
        <v>161</v>
      </c>
      <c r="N86" s="21">
        <v>0</v>
      </c>
      <c r="O86" s="21"/>
      <c r="P86" s="21"/>
      <c r="Q86">
        <v>608</v>
      </c>
      <c r="S86">
        <f t="shared" ref="S86:T88" si="51">ROUND(M86/3*12,2)</f>
        <v>644</v>
      </c>
      <c r="T86">
        <f t="shared" si="51"/>
        <v>0</v>
      </c>
      <c r="U86" s="23">
        <f t="shared" si="39"/>
        <v>608</v>
      </c>
      <c r="V86" s="23">
        <f t="shared" si="40"/>
        <v>0</v>
      </c>
    </row>
    <row r="87" spans="1:22" ht="18.75">
      <c r="A87" s="50">
        <v>66</v>
      </c>
      <c r="B87" s="50" t="s">
        <v>98</v>
      </c>
      <c r="C87" s="51" t="s">
        <v>99</v>
      </c>
      <c r="D87" s="43" t="s">
        <v>100</v>
      </c>
      <c r="E87">
        <v>495.06</v>
      </c>
      <c r="F87">
        <v>11.5</v>
      </c>
      <c r="G87">
        <v>41</v>
      </c>
      <c r="H87">
        <v>0</v>
      </c>
      <c r="I87" t="e">
        <f>ROUND(#REF!/12*3,2)</f>
        <v>#REF!</v>
      </c>
      <c r="J87" t="e">
        <f>ROUND(#REF!/12*3,2)</f>
        <v>#REF!</v>
      </c>
      <c r="M87" s="21">
        <v>116</v>
      </c>
      <c r="N87" s="21">
        <v>0</v>
      </c>
      <c r="O87" s="21"/>
      <c r="P87" s="21"/>
      <c r="S87">
        <f t="shared" si="51"/>
        <v>464</v>
      </c>
      <c r="T87">
        <f t="shared" si="51"/>
        <v>0</v>
      </c>
      <c r="U87" s="23">
        <v>450</v>
      </c>
      <c r="V87" s="23">
        <f t="shared" si="40"/>
        <v>0</v>
      </c>
    </row>
    <row r="88" spans="1:22" ht="31.5">
      <c r="A88" s="50"/>
      <c r="B88" s="50" t="s">
        <v>101</v>
      </c>
      <c r="C88" s="51" t="s">
        <v>66</v>
      </c>
      <c r="D88" s="52" t="s">
        <v>399</v>
      </c>
      <c r="E88">
        <v>0</v>
      </c>
      <c r="F88">
        <v>0</v>
      </c>
      <c r="G88">
        <v>0</v>
      </c>
      <c r="H88">
        <v>0</v>
      </c>
      <c r="I88" t="e">
        <f>ROUND(#REF!/12*3,2)</f>
        <v>#REF!</v>
      </c>
      <c r="J88" t="e">
        <f>ROUND(#REF!/12*3,2)</f>
        <v>#REF!</v>
      </c>
      <c r="M88" s="21">
        <v>0</v>
      </c>
      <c r="N88" s="21">
        <v>0</v>
      </c>
      <c r="O88" s="21"/>
      <c r="P88" s="21"/>
      <c r="S88">
        <f t="shared" si="51"/>
        <v>0</v>
      </c>
      <c r="T88">
        <f t="shared" si="51"/>
        <v>0</v>
      </c>
      <c r="U88" s="23">
        <f t="shared" si="39"/>
        <v>0</v>
      </c>
      <c r="V88" s="23">
        <f t="shared" si="40"/>
        <v>0</v>
      </c>
    </row>
    <row r="89" spans="1:22" s="12" customFormat="1" ht="18.75">
      <c r="A89" s="50"/>
      <c r="B89" s="50"/>
      <c r="C89" s="51"/>
      <c r="D89" s="43" t="s">
        <v>102</v>
      </c>
      <c r="E89" s="6">
        <f t="shared" ref="E89:S89" si="52">+E88+E87+E86+E85+E82+E79+E75+E71+E68+E65+E62+E59+E56+E52+E49+E45+E44+E43+E39+E36+E33+E29+E26+E16+E13+E10+E7</f>
        <v>106863.78</v>
      </c>
      <c r="F89" s="6">
        <f t="shared" si="52"/>
        <v>47429.259999999995</v>
      </c>
      <c r="G89" s="6">
        <f t="shared" si="52"/>
        <v>8906</v>
      </c>
      <c r="H89" s="6">
        <f t="shared" si="52"/>
        <v>3945</v>
      </c>
      <c r="I89" s="6" t="e">
        <f t="shared" si="52"/>
        <v>#REF!</v>
      </c>
      <c r="J89" s="17" t="e">
        <f t="shared" si="52"/>
        <v>#REF!</v>
      </c>
      <c r="K89" s="6">
        <f t="shared" si="52"/>
        <v>0</v>
      </c>
      <c r="L89" s="6">
        <f t="shared" si="52"/>
        <v>0</v>
      </c>
      <c r="M89" s="6">
        <f t="shared" si="52"/>
        <v>25249.14</v>
      </c>
      <c r="N89" s="6">
        <f t="shared" si="52"/>
        <v>10561.27</v>
      </c>
      <c r="O89" s="6">
        <f t="shared" si="52"/>
        <v>0</v>
      </c>
      <c r="P89" s="6">
        <f t="shared" si="52"/>
        <v>60</v>
      </c>
      <c r="Q89" s="6">
        <f t="shared" si="52"/>
        <v>113708.90999999999</v>
      </c>
      <c r="R89" s="6">
        <f t="shared" si="52"/>
        <v>43044.45</v>
      </c>
      <c r="S89" s="6">
        <f t="shared" si="52"/>
        <v>100996.56</v>
      </c>
      <c r="T89" s="17">
        <f t="shared" ref="T89:V89" si="53">+T88+T87+T86+T85+T82+T79+T75+T71+T68+T65+T62+T59+T56+T52+T49+T45+T44+T43+T39+T36+T33+T29+T26+T16+T13+T10+T7</f>
        <v>42245.08</v>
      </c>
      <c r="U89" s="34">
        <f t="shared" si="53"/>
        <v>99236.219999999987</v>
      </c>
      <c r="V89" s="34">
        <f t="shared" si="53"/>
        <v>40951.449999999997</v>
      </c>
    </row>
    <row r="90" spans="1:22" ht="18.75">
      <c r="A90" s="47">
        <v>1</v>
      </c>
      <c r="B90" s="47" t="s">
        <v>103</v>
      </c>
      <c r="C90" s="48" t="s">
        <v>104</v>
      </c>
      <c r="D90" s="49" t="s">
        <v>105</v>
      </c>
      <c r="E90">
        <v>2007.43</v>
      </c>
      <c r="F90">
        <v>185.71</v>
      </c>
      <c r="G90">
        <v>167</v>
      </c>
      <c r="H90">
        <v>15</v>
      </c>
      <c r="I90" t="e">
        <f>ROUND(#REF!/12*3,2)</f>
        <v>#REF!</v>
      </c>
      <c r="J90" t="e">
        <f>ROUND(#REF!/12*3,2)</f>
        <v>#REF!</v>
      </c>
      <c r="M90" s="24">
        <f>510-10</f>
        <v>500</v>
      </c>
      <c r="N90" s="24">
        <f>50-10</f>
        <v>40</v>
      </c>
      <c r="O90" s="24"/>
      <c r="P90" s="24"/>
      <c r="Q90">
        <v>2030</v>
      </c>
      <c r="R90">
        <v>212</v>
      </c>
      <c r="S90">
        <f>ROUND(M90/3*12,2)</f>
        <v>2000</v>
      </c>
      <c r="T90">
        <f>ROUND(N90/3*12,2)</f>
        <v>160</v>
      </c>
      <c r="U90" s="23">
        <f t="shared" si="39"/>
        <v>2000</v>
      </c>
      <c r="V90" s="23">
        <f t="shared" si="40"/>
        <v>160</v>
      </c>
    </row>
    <row r="91" spans="1:22" ht="18.75">
      <c r="A91" s="47">
        <v>2</v>
      </c>
      <c r="B91" s="47"/>
      <c r="C91" s="48"/>
      <c r="D91" s="49" t="s">
        <v>106</v>
      </c>
      <c r="E91">
        <v>1635.49</v>
      </c>
      <c r="F91">
        <v>159.63</v>
      </c>
      <c r="G91">
        <v>136</v>
      </c>
      <c r="H91">
        <v>13</v>
      </c>
      <c r="I91" t="e">
        <f>ROUND(#REF!/12*3,2)</f>
        <v>#REF!</v>
      </c>
      <c r="J91" t="e">
        <f>ROUND(#REF!/12*3,2)</f>
        <v>#REF!</v>
      </c>
      <c r="M91" s="11">
        <v>400</v>
      </c>
      <c r="N91" s="11">
        <v>35</v>
      </c>
      <c r="O91" s="11"/>
      <c r="P91" s="11">
        <v>100</v>
      </c>
      <c r="Q91">
        <v>1750</v>
      </c>
      <c r="R91" s="33">
        <v>386</v>
      </c>
      <c r="S91">
        <f>ROUND(M91/3*12,2)</f>
        <v>1600</v>
      </c>
      <c r="T91">
        <f>ROUND(N91/3*12,2)+246</f>
        <v>386</v>
      </c>
      <c r="U91" s="23">
        <f t="shared" si="39"/>
        <v>1600</v>
      </c>
      <c r="V91" s="23">
        <f t="shared" si="40"/>
        <v>386</v>
      </c>
    </row>
    <row r="92" spans="1:22" ht="18.75">
      <c r="A92" s="47">
        <v>3</v>
      </c>
      <c r="B92" s="47"/>
      <c r="C92" s="48"/>
      <c r="D92" s="49" t="s">
        <v>107</v>
      </c>
      <c r="E92">
        <v>720.01</v>
      </c>
      <c r="F92">
        <v>0</v>
      </c>
      <c r="G92">
        <v>60</v>
      </c>
      <c r="H92">
        <v>0</v>
      </c>
      <c r="I92" t="e">
        <f>ROUND(#REF!/12*3,2)</f>
        <v>#REF!</v>
      </c>
      <c r="J92" t="e">
        <f>ROUND(#REF!/12*3,2)</f>
        <v>#REF!</v>
      </c>
      <c r="M92" s="11">
        <v>165</v>
      </c>
      <c r="N92" s="11"/>
      <c r="O92" s="11"/>
      <c r="P92" s="11"/>
      <c r="Q92">
        <v>805</v>
      </c>
      <c r="S92">
        <f>ROUND(M92/3*12,2)</f>
        <v>660</v>
      </c>
      <c r="T92">
        <f>ROUND(N92/3*12,2)</f>
        <v>0</v>
      </c>
      <c r="U92" s="23">
        <f t="shared" si="39"/>
        <v>660</v>
      </c>
      <c r="V92" s="23">
        <f t="shared" si="40"/>
        <v>0</v>
      </c>
    </row>
    <row r="93" spans="1:22" ht="18.75">
      <c r="A93" s="50"/>
      <c r="B93" s="50" t="s">
        <v>108</v>
      </c>
      <c r="C93" s="51" t="s">
        <v>66</v>
      </c>
      <c r="D93" s="43" t="s">
        <v>106</v>
      </c>
      <c r="E93" s="1">
        <f t="shared" ref="E93:R93" si="54">+E91+E92</f>
        <v>2355.5</v>
      </c>
      <c r="F93" s="1">
        <f t="shared" si="54"/>
        <v>159.63</v>
      </c>
      <c r="G93" s="1">
        <f t="shared" si="54"/>
        <v>196</v>
      </c>
      <c r="H93" s="1">
        <f t="shared" si="54"/>
        <v>13</v>
      </c>
      <c r="I93" s="1" t="e">
        <f t="shared" si="54"/>
        <v>#REF!</v>
      </c>
      <c r="J93" s="13" t="e">
        <f t="shared" si="54"/>
        <v>#REF!</v>
      </c>
      <c r="K93" s="1">
        <f t="shared" si="54"/>
        <v>0</v>
      </c>
      <c r="L93" s="1">
        <f t="shared" si="54"/>
        <v>0</v>
      </c>
      <c r="M93" s="1">
        <f t="shared" si="54"/>
        <v>565</v>
      </c>
      <c r="N93" s="1">
        <f t="shared" si="54"/>
        <v>35</v>
      </c>
      <c r="O93" s="1">
        <f t="shared" si="54"/>
        <v>0</v>
      </c>
      <c r="P93" s="1">
        <f t="shared" si="54"/>
        <v>100</v>
      </c>
      <c r="Q93" s="1">
        <f t="shared" si="54"/>
        <v>2555</v>
      </c>
      <c r="R93" s="1">
        <f t="shared" si="54"/>
        <v>386</v>
      </c>
      <c r="S93" s="1">
        <f t="shared" ref="S93:V93" si="55">+S91+S92</f>
        <v>2260</v>
      </c>
      <c r="T93" s="13">
        <f t="shared" si="55"/>
        <v>386</v>
      </c>
      <c r="U93" s="34">
        <f t="shared" si="55"/>
        <v>2260</v>
      </c>
      <c r="V93" s="34">
        <f t="shared" si="55"/>
        <v>386</v>
      </c>
    </row>
    <row r="94" spans="1:22" ht="18.75">
      <c r="A94" s="50">
        <v>4</v>
      </c>
      <c r="B94" s="50" t="s">
        <v>109</v>
      </c>
      <c r="C94" s="51" t="s">
        <v>36</v>
      </c>
      <c r="D94" s="43" t="s">
        <v>110</v>
      </c>
      <c r="E94">
        <v>1837.95</v>
      </c>
      <c r="F94">
        <v>831.43</v>
      </c>
      <c r="G94">
        <v>153</v>
      </c>
      <c r="H94">
        <v>69</v>
      </c>
      <c r="I94" t="e">
        <f>ROUND(#REF!/12*3,2)</f>
        <v>#REF!</v>
      </c>
      <c r="J94" t="e">
        <f>ROUND(#REF!/12*3,2)</f>
        <v>#REF!</v>
      </c>
      <c r="M94" s="21">
        <v>405</v>
      </c>
      <c r="N94" s="21">
        <v>110</v>
      </c>
      <c r="O94" s="21"/>
      <c r="P94" s="21"/>
      <c r="Q94">
        <v>1900</v>
      </c>
      <c r="R94">
        <v>500</v>
      </c>
      <c r="S94">
        <f>ROUND(M94/3*12,2)</f>
        <v>1620</v>
      </c>
      <c r="T94">
        <f>ROUND(N94/3*12,2)</f>
        <v>440</v>
      </c>
      <c r="U94" s="23">
        <f t="shared" si="39"/>
        <v>1620</v>
      </c>
      <c r="V94" s="23">
        <f t="shared" si="40"/>
        <v>440</v>
      </c>
    </row>
    <row r="95" spans="1:22" ht="18.75">
      <c r="A95" s="50">
        <v>5</v>
      </c>
      <c r="B95" s="50" t="s">
        <v>111</v>
      </c>
      <c r="C95" s="51" t="s">
        <v>112</v>
      </c>
      <c r="D95" s="43" t="s">
        <v>113</v>
      </c>
      <c r="E95">
        <v>533.41</v>
      </c>
      <c r="F95">
        <v>185.67</v>
      </c>
      <c r="G95">
        <v>44</v>
      </c>
      <c r="H95">
        <v>7</v>
      </c>
      <c r="I95" t="e">
        <f>ROUND(#REF!/12*3,2)</f>
        <v>#REF!</v>
      </c>
      <c r="J95" t="e">
        <f>ROUND(#REF!/12*3,2)</f>
        <v>#REF!</v>
      </c>
      <c r="M95" s="21">
        <v>120</v>
      </c>
      <c r="N95" s="21">
        <v>0</v>
      </c>
      <c r="O95" s="21"/>
      <c r="P95" s="21"/>
      <c r="Q95">
        <v>600</v>
      </c>
      <c r="R95">
        <v>7</v>
      </c>
      <c r="S95">
        <f>ROUND(M95/3*12,2)</f>
        <v>480</v>
      </c>
      <c r="T95">
        <f>ROUND(N95/3*12,2)+7</f>
        <v>7</v>
      </c>
      <c r="U95" s="23">
        <f t="shared" si="39"/>
        <v>480</v>
      </c>
      <c r="V95" s="23">
        <f t="shared" si="40"/>
        <v>7</v>
      </c>
    </row>
    <row r="96" spans="1:22" ht="18.75">
      <c r="A96" s="47">
        <v>6</v>
      </c>
      <c r="B96" s="47"/>
      <c r="C96" s="48"/>
      <c r="D96" s="49" t="s">
        <v>114</v>
      </c>
      <c r="E96">
        <v>3303.5</v>
      </c>
      <c r="F96">
        <v>3937.82</v>
      </c>
      <c r="G96">
        <v>275</v>
      </c>
      <c r="H96">
        <v>328</v>
      </c>
      <c r="I96" t="e">
        <f>ROUND(#REF!/12*3,2)</f>
        <v>#REF!</v>
      </c>
      <c r="J96" t="e">
        <f>ROUND(#REF!/12*3,2)</f>
        <v>#REF!</v>
      </c>
      <c r="M96" s="21">
        <v>710</v>
      </c>
      <c r="N96" s="24">
        <f>1162-162-100</f>
        <v>900</v>
      </c>
      <c r="O96" s="24"/>
      <c r="P96" s="24"/>
      <c r="Q96">
        <v>3516</v>
      </c>
      <c r="R96">
        <v>3580</v>
      </c>
      <c r="S96">
        <f>ROUND(M96/3*12,2)</f>
        <v>2840</v>
      </c>
      <c r="T96">
        <f>ROUND(N96/3*12,2)</f>
        <v>3600</v>
      </c>
      <c r="U96" s="23">
        <f t="shared" si="39"/>
        <v>2840</v>
      </c>
      <c r="V96" s="23">
        <f t="shared" si="40"/>
        <v>3580</v>
      </c>
    </row>
    <row r="97" spans="1:22" ht="18.75">
      <c r="A97" s="47">
        <v>7</v>
      </c>
      <c r="B97" s="47"/>
      <c r="C97" s="48"/>
      <c r="D97" s="49" t="s">
        <v>115</v>
      </c>
      <c r="E97">
        <v>488.98</v>
      </c>
      <c r="F97">
        <v>0</v>
      </c>
      <c r="G97">
        <v>41</v>
      </c>
      <c r="H97">
        <v>0</v>
      </c>
      <c r="I97" t="e">
        <f>ROUND(#REF!/12*3,2)</f>
        <v>#REF!</v>
      </c>
      <c r="J97" t="e">
        <f>ROUND(#REF!/12*3,2)</f>
        <v>#REF!</v>
      </c>
      <c r="M97" s="24">
        <f>142.75-20</f>
        <v>122.75</v>
      </c>
      <c r="N97" s="21">
        <v>0</v>
      </c>
      <c r="O97" s="21"/>
      <c r="P97" s="21"/>
      <c r="Q97">
        <v>571.6</v>
      </c>
      <c r="S97">
        <f>ROUND(M97/3*12,2)</f>
        <v>491</v>
      </c>
      <c r="T97">
        <f>ROUND(N97/3*12,2)</f>
        <v>0</v>
      </c>
      <c r="U97" s="23">
        <f t="shared" si="39"/>
        <v>491</v>
      </c>
      <c r="V97" s="23">
        <f t="shared" si="40"/>
        <v>0</v>
      </c>
    </row>
    <row r="98" spans="1:22" ht="18.75">
      <c r="A98" s="50"/>
      <c r="B98" s="50" t="s">
        <v>116</v>
      </c>
      <c r="C98" s="51" t="s">
        <v>117</v>
      </c>
      <c r="D98" s="43" t="s">
        <v>114</v>
      </c>
      <c r="E98" s="1">
        <f t="shared" ref="E98:Q98" si="56">+E96+E97</f>
        <v>3792.48</v>
      </c>
      <c r="F98" s="1">
        <f t="shared" si="56"/>
        <v>3937.82</v>
      </c>
      <c r="G98" s="1">
        <f t="shared" si="56"/>
        <v>316</v>
      </c>
      <c r="H98" s="1">
        <f t="shared" si="56"/>
        <v>328</v>
      </c>
      <c r="I98" s="1" t="e">
        <f t="shared" si="56"/>
        <v>#REF!</v>
      </c>
      <c r="J98" s="13" t="e">
        <f t="shared" si="56"/>
        <v>#REF!</v>
      </c>
      <c r="K98" s="1">
        <f t="shared" si="56"/>
        <v>0</v>
      </c>
      <c r="L98" s="1">
        <f t="shared" si="56"/>
        <v>0</v>
      </c>
      <c r="M98" s="1">
        <f t="shared" si="56"/>
        <v>832.75</v>
      </c>
      <c r="N98" s="1">
        <f t="shared" si="56"/>
        <v>900</v>
      </c>
      <c r="O98" s="1">
        <f t="shared" si="56"/>
        <v>0</v>
      </c>
      <c r="P98" s="1">
        <f t="shared" si="56"/>
        <v>0</v>
      </c>
      <c r="Q98" s="1">
        <f t="shared" si="56"/>
        <v>4087.6</v>
      </c>
      <c r="R98" s="1">
        <f t="shared" ref="R98:V98" si="57">+R96+R97</f>
        <v>3580</v>
      </c>
      <c r="S98" s="1">
        <f t="shared" si="57"/>
        <v>3331</v>
      </c>
      <c r="T98" s="13">
        <f t="shared" si="57"/>
        <v>3600</v>
      </c>
      <c r="U98" s="34">
        <f t="shared" si="57"/>
        <v>3331</v>
      </c>
      <c r="V98" s="34">
        <f t="shared" si="57"/>
        <v>3580</v>
      </c>
    </row>
    <row r="99" spans="1:22" ht="18.75">
      <c r="A99" s="47">
        <v>8</v>
      </c>
      <c r="B99" s="47"/>
      <c r="C99" s="48"/>
      <c r="D99" s="49" t="s">
        <v>118</v>
      </c>
      <c r="E99">
        <v>4317.5</v>
      </c>
      <c r="F99">
        <v>3353.4</v>
      </c>
      <c r="G99">
        <v>360</v>
      </c>
      <c r="H99">
        <v>279</v>
      </c>
      <c r="I99" t="e">
        <f>ROUND(#REF!/12*3,2)</f>
        <v>#REF!</v>
      </c>
      <c r="J99" t="e">
        <f>ROUND(#REF!/12*3,2)</f>
        <v>#REF!</v>
      </c>
      <c r="M99" s="21">
        <v>1080</v>
      </c>
      <c r="N99" s="24">
        <f>837-37-50</f>
        <v>750</v>
      </c>
      <c r="O99" s="24"/>
      <c r="P99" s="24"/>
      <c r="Q99">
        <v>4350</v>
      </c>
      <c r="R99">
        <v>3200</v>
      </c>
      <c r="S99">
        <f>ROUND(M99/3*12,2)</f>
        <v>4320</v>
      </c>
      <c r="T99">
        <f>ROUND(N99/3*12,2)</f>
        <v>3000</v>
      </c>
      <c r="U99" s="23">
        <f t="shared" si="39"/>
        <v>4320</v>
      </c>
      <c r="V99" s="23">
        <f t="shared" si="40"/>
        <v>3000</v>
      </c>
    </row>
    <row r="100" spans="1:22" ht="18.75">
      <c r="A100" s="47">
        <v>9</v>
      </c>
      <c r="B100" s="47"/>
      <c r="C100" s="48"/>
      <c r="D100" s="49" t="s">
        <v>119</v>
      </c>
      <c r="E100">
        <v>750.79</v>
      </c>
      <c r="F100">
        <v>0</v>
      </c>
      <c r="G100">
        <v>63</v>
      </c>
      <c r="H100">
        <v>0</v>
      </c>
      <c r="I100" t="e">
        <f>ROUND(#REF!/12*3,2)</f>
        <v>#REF!</v>
      </c>
      <c r="J100" t="e">
        <f>ROUND(#REF!/12*3,2)</f>
        <v>#REF!</v>
      </c>
      <c r="M100" s="21">
        <v>189</v>
      </c>
      <c r="N100" s="21"/>
      <c r="O100" s="21"/>
      <c r="P100" s="21"/>
      <c r="Q100">
        <v>654.75</v>
      </c>
      <c r="S100">
        <f>ROUND(M100/3*12,2)</f>
        <v>756</v>
      </c>
      <c r="T100">
        <f>ROUND(N100/3*12,2)</f>
        <v>0</v>
      </c>
      <c r="U100" s="23">
        <f t="shared" si="39"/>
        <v>654.75</v>
      </c>
      <c r="V100" s="23">
        <f t="shared" si="40"/>
        <v>0</v>
      </c>
    </row>
    <row r="101" spans="1:22" ht="18.75">
      <c r="A101" s="50"/>
      <c r="B101" s="50" t="s">
        <v>120</v>
      </c>
      <c r="C101" s="51" t="s">
        <v>121</v>
      </c>
      <c r="D101" s="43" t="s">
        <v>118</v>
      </c>
      <c r="E101" s="1">
        <f t="shared" ref="E101:R101" si="58">+E99+E100</f>
        <v>5068.29</v>
      </c>
      <c r="F101" s="1">
        <f t="shared" si="58"/>
        <v>3353.4</v>
      </c>
      <c r="G101" s="1">
        <f t="shared" si="58"/>
        <v>423</v>
      </c>
      <c r="H101" s="1">
        <f t="shared" si="58"/>
        <v>279</v>
      </c>
      <c r="I101" s="1" t="e">
        <f t="shared" si="58"/>
        <v>#REF!</v>
      </c>
      <c r="J101" s="13" t="e">
        <f t="shared" si="58"/>
        <v>#REF!</v>
      </c>
      <c r="K101" s="1">
        <f t="shared" si="58"/>
        <v>0</v>
      </c>
      <c r="L101" s="1">
        <f t="shared" si="58"/>
        <v>0</v>
      </c>
      <c r="M101" s="1">
        <f t="shared" si="58"/>
        <v>1269</v>
      </c>
      <c r="N101" s="1">
        <f t="shared" si="58"/>
        <v>750</v>
      </c>
      <c r="O101" s="1">
        <f t="shared" si="58"/>
        <v>0</v>
      </c>
      <c r="P101" s="1">
        <f t="shared" si="58"/>
        <v>0</v>
      </c>
      <c r="Q101" s="1">
        <f t="shared" si="58"/>
        <v>5004.75</v>
      </c>
      <c r="R101" s="1">
        <f t="shared" si="58"/>
        <v>3200</v>
      </c>
      <c r="S101" s="1">
        <f t="shared" ref="S101:V101" si="59">+S99+S100</f>
        <v>5076</v>
      </c>
      <c r="T101" s="13">
        <f t="shared" si="59"/>
        <v>3000</v>
      </c>
      <c r="U101" s="34">
        <f t="shared" si="59"/>
        <v>4974.75</v>
      </c>
      <c r="V101" s="34">
        <f t="shared" si="59"/>
        <v>3000</v>
      </c>
    </row>
    <row r="102" spans="1:22" ht="18.75">
      <c r="A102" s="47">
        <v>10</v>
      </c>
      <c r="B102" s="47"/>
      <c r="C102" s="48"/>
      <c r="D102" s="49" t="s">
        <v>122</v>
      </c>
      <c r="E102">
        <v>2062.1999999999998</v>
      </c>
      <c r="F102">
        <v>329.13</v>
      </c>
      <c r="G102">
        <v>172</v>
      </c>
      <c r="H102">
        <v>27</v>
      </c>
      <c r="I102" t="e">
        <f>ROUND(#REF!/12*3,2)</f>
        <v>#REF!</v>
      </c>
      <c r="J102" t="e">
        <f>ROUND(#REF!/12*3,2)</f>
        <v>#REF!</v>
      </c>
      <c r="M102" s="21">
        <v>543</v>
      </c>
      <c r="N102" s="24">
        <f>120-30</f>
        <v>90</v>
      </c>
      <c r="O102" s="24"/>
      <c r="P102" s="24"/>
      <c r="Q102">
        <v>2180</v>
      </c>
      <c r="R102">
        <v>210</v>
      </c>
      <c r="S102">
        <f>ROUND(M102/3*12,2)</f>
        <v>2172</v>
      </c>
      <c r="T102">
        <f>ROUND(N102/3*12,2)</f>
        <v>360</v>
      </c>
      <c r="U102" s="23">
        <f t="shared" si="39"/>
        <v>2172</v>
      </c>
      <c r="V102" s="23">
        <f t="shared" si="40"/>
        <v>210</v>
      </c>
    </row>
    <row r="103" spans="1:22" ht="37.5">
      <c r="A103" s="47">
        <v>11</v>
      </c>
      <c r="B103" s="47"/>
      <c r="C103" s="48"/>
      <c r="D103" s="49" t="s">
        <v>123</v>
      </c>
      <c r="E103">
        <v>296.77999999999997</v>
      </c>
      <c r="F103">
        <v>0</v>
      </c>
      <c r="G103">
        <v>25</v>
      </c>
      <c r="H103">
        <v>0</v>
      </c>
      <c r="I103" t="e">
        <f>ROUND(#REF!/12*3,2)</f>
        <v>#REF!</v>
      </c>
      <c r="J103" t="e">
        <f>ROUND(#REF!/12*3,2)</f>
        <v>#REF!</v>
      </c>
      <c r="M103" s="21">
        <v>75</v>
      </c>
      <c r="N103" s="21"/>
      <c r="O103" s="21"/>
      <c r="P103" s="21"/>
      <c r="Q103">
        <v>300</v>
      </c>
      <c r="S103">
        <f>ROUND(M103/3*12,2)</f>
        <v>300</v>
      </c>
      <c r="T103">
        <f>ROUND(N103/3*12,2)</f>
        <v>0</v>
      </c>
      <c r="U103" s="23">
        <f t="shared" si="39"/>
        <v>300</v>
      </c>
      <c r="V103" s="23">
        <f t="shared" si="40"/>
        <v>0</v>
      </c>
    </row>
    <row r="104" spans="1:22" ht="18.75">
      <c r="A104" s="50"/>
      <c r="B104" s="50" t="s">
        <v>124</v>
      </c>
      <c r="C104" s="51" t="s">
        <v>117</v>
      </c>
      <c r="D104" s="43" t="s">
        <v>122</v>
      </c>
      <c r="E104" s="1">
        <f t="shared" ref="E104:R104" si="60">+E102+E103</f>
        <v>2358.9799999999996</v>
      </c>
      <c r="F104" s="1">
        <f t="shared" si="60"/>
        <v>329.13</v>
      </c>
      <c r="G104" s="1">
        <f t="shared" si="60"/>
        <v>197</v>
      </c>
      <c r="H104" s="1">
        <f t="shared" si="60"/>
        <v>27</v>
      </c>
      <c r="I104" s="1" t="e">
        <f t="shared" si="60"/>
        <v>#REF!</v>
      </c>
      <c r="J104" s="13" t="e">
        <f t="shared" si="60"/>
        <v>#REF!</v>
      </c>
      <c r="K104" s="1">
        <f t="shared" si="60"/>
        <v>0</v>
      </c>
      <c r="L104" s="1">
        <f t="shared" si="60"/>
        <v>0</v>
      </c>
      <c r="M104" s="1">
        <f t="shared" si="60"/>
        <v>618</v>
      </c>
      <c r="N104" s="1">
        <f t="shared" si="60"/>
        <v>90</v>
      </c>
      <c r="O104" s="1">
        <f t="shared" si="60"/>
        <v>0</v>
      </c>
      <c r="P104" s="1">
        <f t="shared" si="60"/>
        <v>0</v>
      </c>
      <c r="Q104" s="1">
        <f t="shared" si="60"/>
        <v>2480</v>
      </c>
      <c r="R104" s="1">
        <f t="shared" si="60"/>
        <v>210</v>
      </c>
      <c r="S104" s="1">
        <f t="shared" ref="S104:V104" si="61">+S102+S103</f>
        <v>2472</v>
      </c>
      <c r="T104" s="13">
        <f t="shared" si="61"/>
        <v>360</v>
      </c>
      <c r="U104" s="34">
        <f t="shared" si="61"/>
        <v>2472</v>
      </c>
      <c r="V104" s="34">
        <f t="shared" si="61"/>
        <v>210</v>
      </c>
    </row>
    <row r="105" spans="1:22" ht="18.75">
      <c r="A105" s="47">
        <v>12</v>
      </c>
      <c r="B105" s="47"/>
      <c r="C105" s="48"/>
      <c r="D105" s="49" t="s">
        <v>125</v>
      </c>
      <c r="E105">
        <v>6461.69</v>
      </c>
      <c r="F105">
        <v>5244.17</v>
      </c>
      <c r="G105">
        <v>538</v>
      </c>
      <c r="H105">
        <v>437</v>
      </c>
      <c r="I105" t="e">
        <f>ROUND(#REF!/12*3,2)</f>
        <v>#REF!</v>
      </c>
      <c r="J105" t="e">
        <f>ROUND(#REF!/12*3,2)</f>
        <v>#REF!</v>
      </c>
      <c r="M105" s="21">
        <v>1625</v>
      </c>
      <c r="N105" s="24">
        <f>1337-150</f>
        <v>1187</v>
      </c>
      <c r="O105" s="24"/>
      <c r="P105" s="24"/>
      <c r="Q105">
        <v>6500</v>
      </c>
      <c r="R105">
        <v>4500</v>
      </c>
      <c r="S105">
        <f>ROUND(M105/3*12,2)</f>
        <v>6500</v>
      </c>
      <c r="T105">
        <f>ROUND(N105/3*12,2)</f>
        <v>4748</v>
      </c>
      <c r="U105" s="23">
        <f t="shared" si="39"/>
        <v>6500</v>
      </c>
      <c r="V105" s="23">
        <f t="shared" si="40"/>
        <v>4500</v>
      </c>
    </row>
    <row r="106" spans="1:22" ht="18.75">
      <c r="A106" s="47">
        <v>13</v>
      </c>
      <c r="B106" s="47"/>
      <c r="C106" s="48"/>
      <c r="D106" s="49" t="s">
        <v>126</v>
      </c>
      <c r="E106">
        <v>1862.1</v>
      </c>
      <c r="F106">
        <v>0</v>
      </c>
      <c r="G106">
        <v>155</v>
      </c>
      <c r="H106">
        <v>0</v>
      </c>
      <c r="I106" t="e">
        <f>ROUND(#REF!/12*3,2)</f>
        <v>#REF!</v>
      </c>
      <c r="J106" t="e">
        <f>ROUND(#REF!/12*3,2)</f>
        <v>#REF!</v>
      </c>
      <c r="M106" s="11">
        <v>430</v>
      </c>
      <c r="Q106">
        <v>2140</v>
      </c>
      <c r="S106">
        <f>ROUND(M106/3*12,2)</f>
        <v>1720</v>
      </c>
      <c r="T106">
        <f>ROUND(N106/3*12,2)</f>
        <v>0</v>
      </c>
      <c r="U106" s="23">
        <f t="shared" si="39"/>
        <v>1720</v>
      </c>
      <c r="V106" s="23">
        <f t="shared" si="40"/>
        <v>0</v>
      </c>
    </row>
    <row r="107" spans="1:22" ht="18.75">
      <c r="A107" s="50"/>
      <c r="B107" s="50" t="s">
        <v>127</v>
      </c>
      <c r="C107" s="51" t="s">
        <v>77</v>
      </c>
      <c r="D107" s="43" t="s">
        <v>125</v>
      </c>
      <c r="E107" s="1">
        <f t="shared" ref="E107:Q107" si="62">+E105+E106</f>
        <v>8323.7899999999991</v>
      </c>
      <c r="F107" s="1">
        <f t="shared" si="62"/>
        <v>5244.17</v>
      </c>
      <c r="G107" s="1">
        <f t="shared" si="62"/>
        <v>693</v>
      </c>
      <c r="H107" s="1">
        <f t="shared" si="62"/>
        <v>437</v>
      </c>
      <c r="I107" s="1" t="e">
        <f t="shared" si="62"/>
        <v>#REF!</v>
      </c>
      <c r="J107" s="13" t="e">
        <f t="shared" si="62"/>
        <v>#REF!</v>
      </c>
      <c r="K107" s="1">
        <f t="shared" si="62"/>
        <v>0</v>
      </c>
      <c r="L107" s="1">
        <f t="shared" si="62"/>
        <v>0</v>
      </c>
      <c r="M107" s="1">
        <f t="shared" si="62"/>
        <v>2055</v>
      </c>
      <c r="N107" s="1">
        <f t="shared" si="62"/>
        <v>1187</v>
      </c>
      <c r="O107" s="1">
        <f t="shared" si="62"/>
        <v>0</v>
      </c>
      <c r="P107" s="1">
        <f t="shared" si="62"/>
        <v>0</v>
      </c>
      <c r="Q107" s="1">
        <f t="shared" si="62"/>
        <v>8640</v>
      </c>
      <c r="R107" s="1">
        <f t="shared" ref="R107:V107" si="63">+R105+R106</f>
        <v>4500</v>
      </c>
      <c r="S107" s="1">
        <f t="shared" si="63"/>
        <v>8220</v>
      </c>
      <c r="T107" s="13">
        <f t="shared" si="63"/>
        <v>4748</v>
      </c>
      <c r="U107" s="34">
        <f t="shared" si="63"/>
        <v>8220</v>
      </c>
      <c r="V107" s="34">
        <f t="shared" si="63"/>
        <v>4500</v>
      </c>
    </row>
    <row r="108" spans="1:22" ht="18.75">
      <c r="A108" s="47">
        <v>14</v>
      </c>
      <c r="B108" s="47"/>
      <c r="C108" s="48"/>
      <c r="D108" s="49" t="s">
        <v>128</v>
      </c>
      <c r="E108">
        <v>1531.2</v>
      </c>
      <c r="F108">
        <v>178.64</v>
      </c>
      <c r="G108">
        <v>128</v>
      </c>
      <c r="H108">
        <v>15</v>
      </c>
      <c r="I108" t="e">
        <f>ROUND(#REF!/12*3,2)</f>
        <v>#REF!</v>
      </c>
      <c r="J108" t="e">
        <f>ROUND(#REF!/12*3,2)</f>
        <v>#REF!</v>
      </c>
      <c r="M108" s="21">
        <v>420.92</v>
      </c>
      <c r="N108" s="24">
        <f>170.19-70.19-20</f>
        <v>80</v>
      </c>
      <c r="O108" s="24"/>
      <c r="P108" s="24">
        <v>88</v>
      </c>
      <c r="Q108">
        <v>1525</v>
      </c>
      <c r="R108" s="27">
        <v>185</v>
      </c>
      <c r="S108">
        <f>ROUND(M108/3*12,2)</f>
        <v>1683.68</v>
      </c>
      <c r="T108">
        <f>ROUND(N108/3*12,2)</f>
        <v>320</v>
      </c>
      <c r="U108" s="23">
        <f t="shared" si="39"/>
        <v>1525</v>
      </c>
      <c r="V108" s="23">
        <f t="shared" si="40"/>
        <v>185</v>
      </c>
    </row>
    <row r="109" spans="1:22" ht="18.75">
      <c r="A109" s="47">
        <v>15</v>
      </c>
      <c r="B109" s="47"/>
      <c r="C109" s="48"/>
      <c r="D109" s="49" t="s">
        <v>129</v>
      </c>
      <c r="E109">
        <v>462.21</v>
      </c>
      <c r="F109">
        <v>0</v>
      </c>
      <c r="G109">
        <v>39</v>
      </c>
      <c r="H109">
        <v>0</v>
      </c>
      <c r="I109" t="e">
        <f>ROUND(#REF!/12*3,2)</f>
        <v>#REF!</v>
      </c>
      <c r="J109" t="e">
        <f>ROUND(#REF!/12*3,2)</f>
        <v>#REF!</v>
      </c>
      <c r="M109" s="24">
        <f>150-25</f>
        <v>125</v>
      </c>
      <c r="N109" s="21">
        <v>0</v>
      </c>
      <c r="O109" s="21"/>
      <c r="P109" s="21"/>
      <c r="Q109">
        <v>483.22</v>
      </c>
      <c r="S109">
        <f>ROUND(M109/3*12,2)</f>
        <v>500</v>
      </c>
      <c r="T109">
        <f>ROUND(N109/3*12,2)</f>
        <v>0</v>
      </c>
      <c r="U109" s="23">
        <f t="shared" si="39"/>
        <v>483.22</v>
      </c>
      <c r="V109" s="23">
        <f t="shared" si="40"/>
        <v>0</v>
      </c>
    </row>
    <row r="110" spans="1:22" ht="18.75">
      <c r="A110" s="50"/>
      <c r="B110" s="50" t="s">
        <v>130</v>
      </c>
      <c r="C110" s="51" t="s">
        <v>117</v>
      </c>
      <c r="D110" s="43" t="s">
        <v>128</v>
      </c>
      <c r="E110" s="1">
        <f t="shared" ref="E110:Q110" si="64">+E108+E109</f>
        <v>1993.41</v>
      </c>
      <c r="F110" s="1">
        <f t="shared" si="64"/>
        <v>178.64</v>
      </c>
      <c r="G110" s="1">
        <f t="shared" si="64"/>
        <v>167</v>
      </c>
      <c r="H110" s="1">
        <f t="shared" si="64"/>
        <v>15</v>
      </c>
      <c r="I110" s="1" t="e">
        <f t="shared" si="64"/>
        <v>#REF!</v>
      </c>
      <c r="J110" s="13" t="e">
        <f t="shared" si="64"/>
        <v>#REF!</v>
      </c>
      <c r="K110" s="1">
        <f t="shared" si="64"/>
        <v>0</v>
      </c>
      <c r="L110" s="1">
        <f t="shared" si="64"/>
        <v>0</v>
      </c>
      <c r="M110" s="1">
        <f t="shared" si="64"/>
        <v>545.92000000000007</v>
      </c>
      <c r="N110" s="1">
        <f t="shared" si="64"/>
        <v>80</v>
      </c>
      <c r="O110" s="1">
        <f t="shared" si="64"/>
        <v>0</v>
      </c>
      <c r="P110" s="1">
        <f t="shared" si="64"/>
        <v>88</v>
      </c>
      <c r="Q110" s="1">
        <f t="shared" si="64"/>
        <v>2008.22</v>
      </c>
      <c r="R110" s="1">
        <f t="shared" ref="R110:V110" si="65">+R108+R109</f>
        <v>185</v>
      </c>
      <c r="S110" s="1">
        <f t="shared" si="65"/>
        <v>2183.6800000000003</v>
      </c>
      <c r="T110" s="13">
        <f t="shared" si="65"/>
        <v>320</v>
      </c>
      <c r="U110" s="34">
        <f t="shared" si="65"/>
        <v>2008.22</v>
      </c>
      <c r="V110" s="34">
        <f t="shared" si="65"/>
        <v>185</v>
      </c>
    </row>
    <row r="111" spans="1:22" ht="18.75">
      <c r="A111" s="47">
        <v>16</v>
      </c>
      <c r="B111" s="47"/>
      <c r="C111" s="48"/>
      <c r="D111" s="49" t="s">
        <v>131</v>
      </c>
      <c r="E111">
        <v>1714.3</v>
      </c>
      <c r="F111">
        <v>325.04000000000002</v>
      </c>
      <c r="G111">
        <v>143</v>
      </c>
      <c r="H111">
        <v>27</v>
      </c>
      <c r="I111" t="e">
        <f>ROUND(#REF!/12*3,2)</f>
        <v>#REF!</v>
      </c>
      <c r="J111" t="e">
        <f>ROUND(#REF!/12*3,2)</f>
        <v>#REF!</v>
      </c>
      <c r="M111" s="21">
        <v>435</v>
      </c>
      <c r="N111" s="21">
        <v>21</v>
      </c>
      <c r="O111" s="21"/>
      <c r="P111" s="21"/>
      <c r="Q111">
        <v>1770</v>
      </c>
      <c r="R111">
        <v>250</v>
      </c>
      <c r="S111">
        <f>ROUND(M111/3*12,2)</f>
        <v>1740</v>
      </c>
      <c r="T111">
        <f>ROUND(N111/3*12,2)</f>
        <v>84</v>
      </c>
      <c r="U111" s="23">
        <f t="shared" si="39"/>
        <v>1740</v>
      </c>
      <c r="V111" s="23">
        <f t="shared" si="40"/>
        <v>84</v>
      </c>
    </row>
    <row r="112" spans="1:22" ht="18.75">
      <c r="A112" s="47">
        <v>17</v>
      </c>
      <c r="B112" s="47"/>
      <c r="C112" s="48"/>
      <c r="D112" s="49" t="s">
        <v>132</v>
      </c>
      <c r="E112">
        <v>1603.78</v>
      </c>
      <c r="F112">
        <v>0</v>
      </c>
      <c r="G112">
        <v>134</v>
      </c>
      <c r="H112">
        <v>0</v>
      </c>
      <c r="I112" t="e">
        <f>ROUND(#REF!/12*3,2)</f>
        <v>#REF!</v>
      </c>
      <c r="J112" t="e">
        <f>ROUND(#REF!/12*3,2)</f>
        <v>#REF!</v>
      </c>
      <c r="M112" s="24">
        <f>435-35</f>
        <v>400</v>
      </c>
      <c r="N112" s="21">
        <v>0</v>
      </c>
      <c r="O112" s="21"/>
      <c r="P112" s="21"/>
      <c r="Q112">
        <v>2427.56</v>
      </c>
      <c r="S112">
        <f>ROUND(M112/3*12,2)</f>
        <v>1600</v>
      </c>
      <c r="T112">
        <f>ROUND(N112/3*12,2)</f>
        <v>0</v>
      </c>
      <c r="U112" s="23">
        <f t="shared" si="39"/>
        <v>1600</v>
      </c>
      <c r="V112" s="23">
        <f t="shared" si="40"/>
        <v>0</v>
      </c>
    </row>
    <row r="113" spans="1:22" ht="18.75">
      <c r="A113" s="50"/>
      <c r="B113" s="50" t="s">
        <v>133</v>
      </c>
      <c r="C113" s="51" t="s">
        <v>36</v>
      </c>
      <c r="D113" s="43" t="s">
        <v>131</v>
      </c>
      <c r="E113" s="1">
        <f t="shared" ref="E113:Q113" si="66">+E111+E112</f>
        <v>3318.08</v>
      </c>
      <c r="F113" s="1">
        <f t="shared" si="66"/>
        <v>325.04000000000002</v>
      </c>
      <c r="G113" s="1">
        <f t="shared" si="66"/>
        <v>277</v>
      </c>
      <c r="H113" s="1">
        <f t="shared" si="66"/>
        <v>27</v>
      </c>
      <c r="I113" s="1" t="e">
        <f t="shared" si="66"/>
        <v>#REF!</v>
      </c>
      <c r="J113" s="13" t="e">
        <f t="shared" si="66"/>
        <v>#REF!</v>
      </c>
      <c r="K113" s="1">
        <f t="shared" si="66"/>
        <v>0</v>
      </c>
      <c r="L113" s="1">
        <f t="shared" si="66"/>
        <v>0</v>
      </c>
      <c r="M113" s="1">
        <f t="shared" si="66"/>
        <v>835</v>
      </c>
      <c r="N113" s="1">
        <f t="shared" si="66"/>
        <v>21</v>
      </c>
      <c r="O113" s="1">
        <f t="shared" si="66"/>
        <v>0</v>
      </c>
      <c r="P113" s="1">
        <f t="shared" si="66"/>
        <v>0</v>
      </c>
      <c r="Q113" s="1">
        <f t="shared" si="66"/>
        <v>4197.5599999999995</v>
      </c>
      <c r="R113" s="1">
        <f t="shared" ref="R113:V113" si="67">+R111+R112</f>
        <v>250</v>
      </c>
      <c r="S113" s="1">
        <f t="shared" si="67"/>
        <v>3340</v>
      </c>
      <c r="T113" s="13">
        <f t="shared" si="67"/>
        <v>84</v>
      </c>
      <c r="U113" s="34">
        <f t="shared" si="67"/>
        <v>3340</v>
      </c>
      <c r="V113" s="34">
        <f t="shared" si="67"/>
        <v>84</v>
      </c>
    </row>
    <row r="114" spans="1:22" ht="18.75">
      <c r="A114" s="50">
        <v>18</v>
      </c>
      <c r="B114" s="50" t="s">
        <v>134</v>
      </c>
      <c r="C114" s="51" t="s">
        <v>50</v>
      </c>
      <c r="D114" s="43" t="s">
        <v>135</v>
      </c>
      <c r="E114">
        <v>969.05</v>
      </c>
      <c r="F114">
        <v>17.399999999999999</v>
      </c>
      <c r="G114">
        <v>81</v>
      </c>
      <c r="H114">
        <v>0</v>
      </c>
      <c r="I114" t="e">
        <f>ROUND(#REF!/12*3,2)</f>
        <v>#REF!</v>
      </c>
      <c r="J114" t="e">
        <f>ROUND(#REF!/12*3,2)</f>
        <v>#REF!</v>
      </c>
      <c r="M114" s="21">
        <v>240</v>
      </c>
      <c r="N114" s="21">
        <v>0</v>
      </c>
      <c r="O114" s="21"/>
      <c r="P114" s="21"/>
      <c r="Q114">
        <v>950.05</v>
      </c>
      <c r="R114">
        <v>0</v>
      </c>
      <c r="S114">
        <f t="shared" ref="S114:T116" si="68">ROUND(M114/3*12,2)</f>
        <v>960</v>
      </c>
      <c r="T114">
        <f t="shared" si="68"/>
        <v>0</v>
      </c>
      <c r="U114" s="23">
        <f t="shared" si="39"/>
        <v>950.05</v>
      </c>
      <c r="V114" s="23">
        <f t="shared" si="40"/>
        <v>0</v>
      </c>
    </row>
    <row r="115" spans="1:22" ht="18.75">
      <c r="A115" s="47">
        <v>19</v>
      </c>
      <c r="B115" s="47"/>
      <c r="C115" s="48"/>
      <c r="D115" s="49" t="s">
        <v>136</v>
      </c>
      <c r="E115">
        <v>714.4</v>
      </c>
      <c r="F115">
        <v>164.74</v>
      </c>
      <c r="G115">
        <v>60</v>
      </c>
      <c r="H115">
        <v>14</v>
      </c>
      <c r="I115" t="e">
        <f>ROUND(#REF!/12*3,2)</f>
        <v>#REF!</v>
      </c>
      <c r="J115" t="e">
        <f>ROUND(#REF!/12*3,2)</f>
        <v>#REF!</v>
      </c>
      <c r="M115" s="21">
        <v>180</v>
      </c>
      <c r="N115" s="24">
        <f>81-30</f>
        <v>51</v>
      </c>
      <c r="O115" s="24"/>
      <c r="P115" s="24"/>
      <c r="Q115">
        <v>750</v>
      </c>
      <c r="R115">
        <v>85</v>
      </c>
      <c r="S115">
        <f t="shared" si="68"/>
        <v>720</v>
      </c>
      <c r="T115">
        <f t="shared" si="68"/>
        <v>204</v>
      </c>
      <c r="U115" s="23">
        <f t="shared" si="39"/>
        <v>720</v>
      </c>
      <c r="V115" s="23">
        <f t="shared" si="40"/>
        <v>85</v>
      </c>
    </row>
    <row r="116" spans="1:22" ht="37.5">
      <c r="A116" s="47">
        <v>20</v>
      </c>
      <c r="B116" s="47"/>
      <c r="C116" s="48"/>
      <c r="D116" s="49" t="s">
        <v>137</v>
      </c>
      <c r="E116">
        <v>355.82</v>
      </c>
      <c r="F116">
        <v>0</v>
      </c>
      <c r="G116">
        <v>30</v>
      </c>
      <c r="H116">
        <v>0</v>
      </c>
      <c r="I116" t="e">
        <f>ROUND(#REF!/12*3,2)</f>
        <v>#REF!</v>
      </c>
      <c r="J116" t="e">
        <f>ROUND(#REF!/12*3,2)</f>
        <v>#REF!</v>
      </c>
      <c r="M116" s="25">
        <f>100-20</f>
        <v>80</v>
      </c>
      <c r="Q116">
        <v>515</v>
      </c>
      <c r="S116">
        <f t="shared" si="68"/>
        <v>320</v>
      </c>
      <c r="T116">
        <f t="shared" si="68"/>
        <v>0</v>
      </c>
      <c r="U116" s="23">
        <f t="shared" si="39"/>
        <v>320</v>
      </c>
      <c r="V116" s="23">
        <f t="shared" si="40"/>
        <v>0</v>
      </c>
    </row>
    <row r="117" spans="1:22" ht="18.75">
      <c r="A117" s="50"/>
      <c r="B117" s="50" t="s">
        <v>138</v>
      </c>
      <c r="C117" s="51" t="s">
        <v>50</v>
      </c>
      <c r="D117" s="43" t="s">
        <v>136</v>
      </c>
      <c r="E117" s="1">
        <f t="shared" ref="E117:R117" si="69">+E115+E116</f>
        <v>1070.22</v>
      </c>
      <c r="F117" s="1">
        <f t="shared" si="69"/>
        <v>164.74</v>
      </c>
      <c r="G117" s="1">
        <f t="shared" si="69"/>
        <v>90</v>
      </c>
      <c r="H117" s="1">
        <f t="shared" si="69"/>
        <v>14</v>
      </c>
      <c r="I117" s="1" t="e">
        <f t="shared" si="69"/>
        <v>#REF!</v>
      </c>
      <c r="J117" s="13" t="e">
        <f t="shared" si="69"/>
        <v>#REF!</v>
      </c>
      <c r="K117" s="1">
        <f t="shared" si="69"/>
        <v>0</v>
      </c>
      <c r="L117" s="1">
        <f t="shared" si="69"/>
        <v>0</v>
      </c>
      <c r="M117" s="1">
        <f t="shared" si="69"/>
        <v>260</v>
      </c>
      <c r="N117" s="1">
        <f t="shared" si="69"/>
        <v>51</v>
      </c>
      <c r="O117" s="1">
        <f t="shared" si="69"/>
        <v>0</v>
      </c>
      <c r="P117" s="1">
        <f t="shared" si="69"/>
        <v>0</v>
      </c>
      <c r="Q117" s="1">
        <f t="shared" si="69"/>
        <v>1265</v>
      </c>
      <c r="R117" s="1">
        <f t="shared" si="69"/>
        <v>85</v>
      </c>
      <c r="S117" s="1">
        <f t="shared" ref="S117:V117" si="70">+S115+S116</f>
        <v>1040</v>
      </c>
      <c r="T117" s="13">
        <f t="shared" si="70"/>
        <v>204</v>
      </c>
      <c r="U117" s="34">
        <f t="shared" si="70"/>
        <v>1040</v>
      </c>
      <c r="V117" s="34">
        <f t="shared" si="70"/>
        <v>85</v>
      </c>
    </row>
    <row r="118" spans="1:22" ht="18.75">
      <c r="A118" s="50">
        <v>21</v>
      </c>
      <c r="B118" s="50" t="s">
        <v>139</v>
      </c>
      <c r="C118" s="51" t="s">
        <v>9</v>
      </c>
      <c r="D118" s="43" t="s">
        <v>140</v>
      </c>
      <c r="E118">
        <v>976.76</v>
      </c>
      <c r="F118">
        <v>80.5</v>
      </c>
      <c r="G118">
        <v>81</v>
      </c>
      <c r="H118">
        <v>7</v>
      </c>
      <c r="I118" t="e">
        <f>ROUND(#REF!/12*3,2)</f>
        <v>#REF!</v>
      </c>
      <c r="J118" t="e">
        <f>ROUND(#REF!/12*3,2)</f>
        <v>#REF!</v>
      </c>
      <c r="M118" s="24">
        <f>262-12</f>
        <v>250</v>
      </c>
      <c r="N118" s="24">
        <f>130-30</f>
        <v>100</v>
      </c>
      <c r="O118" s="24"/>
      <c r="P118" s="24"/>
      <c r="Q118">
        <v>930</v>
      </c>
      <c r="R118">
        <v>150</v>
      </c>
      <c r="S118">
        <f t="shared" ref="S118:T121" si="71">ROUND(M118/3*12,2)</f>
        <v>1000</v>
      </c>
      <c r="T118">
        <f t="shared" si="71"/>
        <v>400</v>
      </c>
      <c r="U118" s="23">
        <f t="shared" si="39"/>
        <v>930</v>
      </c>
      <c r="V118" s="23">
        <f t="shared" si="40"/>
        <v>150</v>
      </c>
    </row>
    <row r="119" spans="1:22" ht="18.75">
      <c r="A119" s="50">
        <v>22</v>
      </c>
      <c r="B119" s="50" t="s">
        <v>141</v>
      </c>
      <c r="C119" s="51" t="s">
        <v>9</v>
      </c>
      <c r="D119" s="43" t="s">
        <v>142</v>
      </c>
      <c r="E119">
        <v>747.92</v>
      </c>
      <c r="F119">
        <v>52.44</v>
      </c>
      <c r="G119">
        <v>62</v>
      </c>
      <c r="H119">
        <v>4</v>
      </c>
      <c r="I119" t="e">
        <f>ROUND(#REF!/12*3,2)</f>
        <v>#REF!</v>
      </c>
      <c r="J119" t="e">
        <f>ROUND(#REF!/12*3,2)</f>
        <v>#REF!</v>
      </c>
      <c r="M119" s="21">
        <v>180</v>
      </c>
      <c r="N119" s="21">
        <v>1.5</v>
      </c>
      <c r="O119" s="21"/>
      <c r="P119" s="21"/>
      <c r="Q119">
        <v>800</v>
      </c>
      <c r="R119">
        <v>65</v>
      </c>
      <c r="S119">
        <f t="shared" si="71"/>
        <v>720</v>
      </c>
      <c r="T119">
        <f t="shared" si="71"/>
        <v>6</v>
      </c>
      <c r="U119" s="23">
        <f t="shared" si="39"/>
        <v>720</v>
      </c>
      <c r="V119" s="23">
        <f t="shared" si="40"/>
        <v>6</v>
      </c>
    </row>
    <row r="120" spans="1:22" ht="18.75">
      <c r="A120" s="47">
        <v>23</v>
      </c>
      <c r="B120" s="47"/>
      <c r="C120" s="48"/>
      <c r="D120" s="49" t="s">
        <v>143</v>
      </c>
      <c r="E120">
        <v>563.82000000000005</v>
      </c>
      <c r="F120">
        <v>138</v>
      </c>
      <c r="G120">
        <v>47</v>
      </c>
      <c r="H120">
        <v>0</v>
      </c>
      <c r="I120" t="e">
        <f>ROUND(#REF!/12*3,2)</f>
        <v>#REF!</v>
      </c>
      <c r="J120" t="e">
        <f>ROUND(#REF!/12*3,2)</f>
        <v>#REF!</v>
      </c>
      <c r="M120" s="21">
        <v>160</v>
      </c>
      <c r="N120" s="21">
        <v>0</v>
      </c>
      <c r="O120" s="21"/>
      <c r="P120" s="21"/>
      <c r="Q120">
        <v>660</v>
      </c>
      <c r="R120">
        <v>0</v>
      </c>
      <c r="S120">
        <f t="shared" si="71"/>
        <v>640</v>
      </c>
      <c r="T120">
        <f t="shared" si="71"/>
        <v>0</v>
      </c>
      <c r="U120" s="23">
        <f t="shared" si="39"/>
        <v>640</v>
      </c>
      <c r="V120" s="23">
        <f t="shared" si="40"/>
        <v>0</v>
      </c>
    </row>
    <row r="121" spans="1:22" ht="18.75">
      <c r="A121" s="47">
        <v>24</v>
      </c>
      <c r="B121" s="47"/>
      <c r="C121" s="48"/>
      <c r="D121" s="49" t="s">
        <v>144</v>
      </c>
      <c r="E121">
        <v>935</v>
      </c>
      <c r="F121">
        <v>0</v>
      </c>
      <c r="G121">
        <v>78</v>
      </c>
      <c r="H121">
        <v>0</v>
      </c>
      <c r="I121" t="e">
        <f>ROUND(#REF!/12*3,2)</f>
        <v>#REF!</v>
      </c>
      <c r="J121" t="e">
        <f>ROUND(#REF!/12*3,2)</f>
        <v>#REF!</v>
      </c>
      <c r="M121" s="21">
        <v>300</v>
      </c>
      <c r="N121" s="21">
        <v>0</v>
      </c>
      <c r="O121" s="21"/>
      <c r="P121" s="21"/>
      <c r="Q121">
        <v>900</v>
      </c>
      <c r="S121">
        <f t="shared" si="71"/>
        <v>1200</v>
      </c>
      <c r="T121">
        <f t="shared" si="71"/>
        <v>0</v>
      </c>
      <c r="U121" s="23">
        <f t="shared" si="39"/>
        <v>900</v>
      </c>
      <c r="V121" s="23">
        <f t="shared" si="40"/>
        <v>0</v>
      </c>
    </row>
    <row r="122" spans="1:22" ht="18.75">
      <c r="A122" s="50"/>
      <c r="B122" s="50" t="s">
        <v>145</v>
      </c>
      <c r="C122" s="51" t="s">
        <v>60</v>
      </c>
      <c r="D122" s="43" t="s">
        <v>143</v>
      </c>
      <c r="E122" s="1">
        <f t="shared" ref="E122:R122" si="72">+E120+E121</f>
        <v>1498.8200000000002</v>
      </c>
      <c r="F122" s="1">
        <f t="shared" si="72"/>
        <v>138</v>
      </c>
      <c r="G122" s="1">
        <f t="shared" si="72"/>
        <v>125</v>
      </c>
      <c r="H122" s="1">
        <f t="shared" si="72"/>
        <v>0</v>
      </c>
      <c r="I122" s="1" t="e">
        <f t="shared" si="72"/>
        <v>#REF!</v>
      </c>
      <c r="J122" s="13" t="e">
        <f t="shared" si="72"/>
        <v>#REF!</v>
      </c>
      <c r="K122" s="1">
        <f t="shared" si="72"/>
        <v>0</v>
      </c>
      <c r="L122" s="1">
        <f t="shared" si="72"/>
        <v>0</v>
      </c>
      <c r="M122" s="1">
        <f t="shared" si="72"/>
        <v>460</v>
      </c>
      <c r="N122" s="1">
        <f t="shared" si="72"/>
        <v>0</v>
      </c>
      <c r="O122" s="1">
        <f t="shared" si="72"/>
        <v>0</v>
      </c>
      <c r="P122" s="1">
        <f t="shared" si="72"/>
        <v>0</v>
      </c>
      <c r="Q122" s="1">
        <f t="shared" si="72"/>
        <v>1560</v>
      </c>
      <c r="R122" s="1">
        <f t="shared" si="72"/>
        <v>0</v>
      </c>
      <c r="S122" s="1">
        <f t="shared" ref="S122:V122" si="73">+S120+S121</f>
        <v>1840</v>
      </c>
      <c r="T122" s="13">
        <f t="shared" si="73"/>
        <v>0</v>
      </c>
      <c r="U122" s="34">
        <f t="shared" si="73"/>
        <v>1540</v>
      </c>
      <c r="V122" s="34">
        <f t="shared" si="73"/>
        <v>0</v>
      </c>
    </row>
    <row r="123" spans="1:22" ht="18.75">
      <c r="A123" s="47">
        <v>25</v>
      </c>
      <c r="B123" s="47"/>
      <c r="C123" s="48"/>
      <c r="D123" s="49" t="s">
        <v>146</v>
      </c>
      <c r="E123">
        <v>562.1</v>
      </c>
      <c r="F123">
        <v>44.16</v>
      </c>
      <c r="G123">
        <v>47</v>
      </c>
      <c r="H123">
        <v>4</v>
      </c>
      <c r="I123" t="e">
        <f>ROUND(#REF!/12*3,2)</f>
        <v>#REF!</v>
      </c>
      <c r="J123" t="e">
        <f>ROUND(#REF!/12*3,2)</f>
        <v>#REF!</v>
      </c>
      <c r="M123" s="21">
        <v>135</v>
      </c>
      <c r="N123" s="21">
        <v>0</v>
      </c>
      <c r="O123" s="21"/>
      <c r="P123" s="21"/>
      <c r="Q123">
        <v>600</v>
      </c>
      <c r="R123" s="29">
        <v>50</v>
      </c>
      <c r="S123">
        <f>ROUND(M123/3*12,2)</f>
        <v>540</v>
      </c>
      <c r="T123">
        <f>ROUND(N123/3*12,2)</f>
        <v>0</v>
      </c>
      <c r="U123" s="23">
        <f t="shared" si="39"/>
        <v>540</v>
      </c>
      <c r="V123" s="23">
        <f>IF(R123&lt;T123,R123,T123)+50</f>
        <v>50</v>
      </c>
    </row>
    <row r="124" spans="1:22" ht="18.75">
      <c r="A124" s="47">
        <v>26</v>
      </c>
      <c r="B124" s="47"/>
      <c r="C124" s="48"/>
      <c r="D124" s="49" t="s">
        <v>147</v>
      </c>
      <c r="E124">
        <v>260.24</v>
      </c>
      <c r="F124">
        <v>0</v>
      </c>
      <c r="G124">
        <v>22</v>
      </c>
      <c r="H124">
        <v>0</v>
      </c>
      <c r="I124" t="e">
        <f>ROUND(#REF!/12*3,2)</f>
        <v>#REF!</v>
      </c>
      <c r="J124" t="e">
        <f>ROUND(#REF!/12*3,2)</f>
        <v>#REF!</v>
      </c>
      <c r="M124" s="21">
        <v>60</v>
      </c>
      <c r="N124" s="21">
        <v>0</v>
      </c>
      <c r="O124" s="21"/>
      <c r="P124" s="21"/>
      <c r="Q124">
        <v>285</v>
      </c>
      <c r="S124">
        <f>ROUND(M124/3*12,2)</f>
        <v>240</v>
      </c>
      <c r="T124">
        <f>ROUND(N124/3*12,2)</f>
        <v>0</v>
      </c>
      <c r="U124" s="23">
        <f t="shared" si="39"/>
        <v>240</v>
      </c>
      <c r="V124" s="23">
        <f t="shared" si="40"/>
        <v>0</v>
      </c>
    </row>
    <row r="125" spans="1:22" ht="18.75">
      <c r="A125" s="50"/>
      <c r="B125" s="50" t="s">
        <v>148</v>
      </c>
      <c r="C125" s="51" t="s">
        <v>121</v>
      </c>
      <c r="D125" s="43" t="s">
        <v>146</v>
      </c>
      <c r="E125" s="1">
        <f t="shared" ref="E125:Q125" si="74">+E123+E124</f>
        <v>822.34</v>
      </c>
      <c r="F125" s="1">
        <f t="shared" si="74"/>
        <v>44.16</v>
      </c>
      <c r="G125" s="1">
        <f t="shared" si="74"/>
        <v>69</v>
      </c>
      <c r="H125" s="1">
        <f t="shared" si="74"/>
        <v>4</v>
      </c>
      <c r="I125" s="1" t="e">
        <f t="shared" si="74"/>
        <v>#REF!</v>
      </c>
      <c r="J125" s="13" t="e">
        <f t="shared" si="74"/>
        <v>#REF!</v>
      </c>
      <c r="K125" s="1">
        <f t="shared" si="74"/>
        <v>0</v>
      </c>
      <c r="L125" s="1">
        <f t="shared" si="74"/>
        <v>0</v>
      </c>
      <c r="M125" s="1">
        <f t="shared" si="74"/>
        <v>195</v>
      </c>
      <c r="N125" s="1">
        <f t="shared" si="74"/>
        <v>0</v>
      </c>
      <c r="O125" s="1">
        <f t="shared" si="74"/>
        <v>0</v>
      </c>
      <c r="P125" s="1">
        <f t="shared" si="74"/>
        <v>0</v>
      </c>
      <c r="Q125" s="1">
        <f t="shared" si="74"/>
        <v>885</v>
      </c>
      <c r="R125" s="1">
        <f t="shared" ref="R125:V125" si="75">+R123+R124</f>
        <v>50</v>
      </c>
      <c r="S125" s="1">
        <f t="shared" si="75"/>
        <v>780</v>
      </c>
      <c r="T125" s="13">
        <f t="shared" si="75"/>
        <v>0</v>
      </c>
      <c r="U125" s="34">
        <f t="shared" si="75"/>
        <v>780</v>
      </c>
      <c r="V125" s="34">
        <f t="shared" si="75"/>
        <v>50</v>
      </c>
    </row>
    <row r="126" spans="1:22" ht="18.75">
      <c r="A126" s="50">
        <v>27</v>
      </c>
      <c r="B126" s="50" t="s">
        <v>149</v>
      </c>
      <c r="C126" s="51" t="s">
        <v>21</v>
      </c>
      <c r="D126" s="43" t="s">
        <v>150</v>
      </c>
      <c r="E126">
        <v>711.67</v>
      </c>
      <c r="F126">
        <v>55.2</v>
      </c>
      <c r="G126">
        <v>59</v>
      </c>
      <c r="H126">
        <v>5</v>
      </c>
      <c r="I126" t="e">
        <f>ROUND(#REF!/12*3,2)</f>
        <v>#REF!</v>
      </c>
      <c r="J126" t="e">
        <f>ROUND(#REF!/12*3,2)</f>
        <v>#REF!</v>
      </c>
      <c r="M126" s="21">
        <v>185</v>
      </c>
      <c r="N126" s="21">
        <v>12</v>
      </c>
      <c r="O126" s="21"/>
      <c r="P126" s="21"/>
      <c r="Q126">
        <v>726</v>
      </c>
      <c r="R126">
        <v>80</v>
      </c>
      <c r="S126">
        <f t="shared" ref="S126:T133" si="76">ROUND(M126/3*12,2)</f>
        <v>740</v>
      </c>
      <c r="T126">
        <f t="shared" si="76"/>
        <v>48</v>
      </c>
      <c r="U126" s="23">
        <f t="shared" si="39"/>
        <v>726</v>
      </c>
      <c r="V126" s="23">
        <f t="shared" si="40"/>
        <v>48</v>
      </c>
    </row>
    <row r="127" spans="1:22" ht="18.75">
      <c r="A127" s="50">
        <v>28</v>
      </c>
      <c r="B127" s="50" t="s">
        <v>151</v>
      </c>
      <c r="C127" s="51" t="s">
        <v>9</v>
      </c>
      <c r="D127" s="43" t="s">
        <v>152</v>
      </c>
      <c r="E127">
        <v>743.78</v>
      </c>
      <c r="F127">
        <v>39.39</v>
      </c>
      <c r="G127">
        <v>62</v>
      </c>
      <c r="H127">
        <v>3</v>
      </c>
      <c r="I127" t="e">
        <f>ROUND(#REF!/12*3,2)</f>
        <v>#REF!</v>
      </c>
      <c r="J127" t="e">
        <f>ROUND(#REF!/12*3,2)</f>
        <v>#REF!</v>
      </c>
      <c r="M127" s="24">
        <f>248-40</f>
        <v>208</v>
      </c>
      <c r="N127" s="24">
        <f>62-12-10</f>
        <v>40</v>
      </c>
      <c r="O127" s="24"/>
      <c r="P127" s="24">
        <v>60</v>
      </c>
      <c r="Q127">
        <v>690</v>
      </c>
      <c r="R127">
        <v>120</v>
      </c>
      <c r="S127">
        <f t="shared" si="76"/>
        <v>832</v>
      </c>
      <c r="T127">
        <f t="shared" si="76"/>
        <v>160</v>
      </c>
      <c r="U127" s="23">
        <f t="shared" si="39"/>
        <v>690</v>
      </c>
      <c r="V127" s="23">
        <f t="shared" si="40"/>
        <v>120</v>
      </c>
    </row>
    <row r="128" spans="1:22" ht="18.75">
      <c r="A128" s="50">
        <v>29</v>
      </c>
      <c r="B128" s="50" t="s">
        <v>153</v>
      </c>
      <c r="C128" s="51" t="s">
        <v>154</v>
      </c>
      <c r="D128" s="43" t="s">
        <v>155</v>
      </c>
      <c r="E128">
        <v>325.81</v>
      </c>
      <c r="F128">
        <v>0</v>
      </c>
      <c r="G128">
        <v>27</v>
      </c>
      <c r="H128">
        <v>0</v>
      </c>
      <c r="I128" t="e">
        <f>ROUND(#REF!/12*3,2)</f>
        <v>#REF!</v>
      </c>
      <c r="J128" t="e">
        <f>ROUND(#REF!/12*3,2)</f>
        <v>#REF!</v>
      </c>
      <c r="M128" s="21">
        <v>90</v>
      </c>
      <c r="N128" s="21">
        <v>0</v>
      </c>
      <c r="O128" s="21"/>
      <c r="P128" s="21"/>
      <c r="Q128">
        <v>365</v>
      </c>
      <c r="S128">
        <f t="shared" si="76"/>
        <v>360</v>
      </c>
      <c r="T128">
        <f t="shared" si="76"/>
        <v>0</v>
      </c>
      <c r="U128" s="23">
        <f t="shared" si="39"/>
        <v>360</v>
      </c>
      <c r="V128" s="23">
        <f t="shared" si="40"/>
        <v>0</v>
      </c>
    </row>
    <row r="129" spans="1:22" ht="18.75">
      <c r="A129" s="50">
        <v>30</v>
      </c>
      <c r="B129" s="50" t="s">
        <v>156</v>
      </c>
      <c r="C129" s="51" t="s">
        <v>66</v>
      </c>
      <c r="D129" s="43" t="s">
        <v>157</v>
      </c>
      <c r="E129">
        <v>704</v>
      </c>
      <c r="F129">
        <v>1.82</v>
      </c>
      <c r="G129">
        <v>59</v>
      </c>
      <c r="H129">
        <v>0</v>
      </c>
      <c r="I129" t="e">
        <f>ROUND(#REF!/12*3,2)</f>
        <v>#REF!</v>
      </c>
      <c r="J129" t="e">
        <f>ROUND(#REF!/12*3,2)</f>
        <v>#REF!</v>
      </c>
      <c r="M129" s="21">
        <v>190</v>
      </c>
      <c r="N129" s="21">
        <v>0</v>
      </c>
      <c r="O129" s="21"/>
      <c r="P129" s="21"/>
      <c r="Q129">
        <v>720</v>
      </c>
      <c r="S129">
        <f t="shared" si="76"/>
        <v>760</v>
      </c>
      <c r="T129">
        <f t="shared" si="76"/>
        <v>0</v>
      </c>
      <c r="U129" s="23">
        <f t="shared" si="39"/>
        <v>720</v>
      </c>
      <c r="V129" s="23">
        <f t="shared" si="40"/>
        <v>0</v>
      </c>
    </row>
    <row r="130" spans="1:22" ht="18.75">
      <c r="A130" s="50">
        <v>31</v>
      </c>
      <c r="B130" s="50" t="s">
        <v>158</v>
      </c>
      <c r="C130" s="51" t="s">
        <v>159</v>
      </c>
      <c r="D130" s="43" t="s">
        <v>160</v>
      </c>
      <c r="E130">
        <v>289.06</v>
      </c>
      <c r="F130">
        <v>0</v>
      </c>
      <c r="G130">
        <v>24</v>
      </c>
      <c r="H130">
        <v>0</v>
      </c>
      <c r="I130" t="e">
        <f>ROUND(#REF!/12*3,2)</f>
        <v>#REF!</v>
      </c>
      <c r="J130" t="e">
        <f>ROUND(#REF!/12*3,2)</f>
        <v>#REF!</v>
      </c>
      <c r="M130" s="21">
        <v>72</v>
      </c>
      <c r="N130" s="21">
        <v>0</v>
      </c>
      <c r="O130" s="21"/>
      <c r="P130" s="21"/>
      <c r="Q130">
        <v>300</v>
      </c>
      <c r="S130">
        <f t="shared" si="76"/>
        <v>288</v>
      </c>
      <c r="T130">
        <f t="shared" si="76"/>
        <v>0</v>
      </c>
      <c r="U130" s="23">
        <f t="shared" si="39"/>
        <v>288</v>
      </c>
      <c r="V130" s="23">
        <f t="shared" si="40"/>
        <v>0</v>
      </c>
    </row>
    <row r="131" spans="1:22" ht="18.75">
      <c r="A131" s="50">
        <v>32</v>
      </c>
      <c r="B131" s="50" t="s">
        <v>161</v>
      </c>
      <c r="C131" s="51" t="s">
        <v>9</v>
      </c>
      <c r="D131" s="43" t="s">
        <v>162</v>
      </c>
      <c r="E131">
        <v>504.47</v>
      </c>
      <c r="F131">
        <v>0</v>
      </c>
      <c r="G131">
        <v>42</v>
      </c>
      <c r="H131">
        <v>0</v>
      </c>
      <c r="I131" t="e">
        <f>ROUND(#REF!/12*3,2)</f>
        <v>#REF!</v>
      </c>
      <c r="J131" t="e">
        <f>ROUND(#REF!/12*3,2)</f>
        <v>#REF!</v>
      </c>
      <c r="M131" s="21">
        <v>136</v>
      </c>
      <c r="N131" s="21">
        <v>0</v>
      </c>
      <c r="O131" s="21"/>
      <c r="P131" s="21"/>
      <c r="Q131">
        <v>500</v>
      </c>
      <c r="S131">
        <f t="shared" si="76"/>
        <v>544</v>
      </c>
      <c r="T131">
        <f t="shared" si="76"/>
        <v>0</v>
      </c>
      <c r="U131" s="23">
        <f t="shared" si="39"/>
        <v>500</v>
      </c>
      <c r="V131" s="23">
        <f t="shared" si="40"/>
        <v>0</v>
      </c>
    </row>
    <row r="132" spans="1:22" ht="18.75">
      <c r="A132" s="47">
        <v>33</v>
      </c>
      <c r="B132" s="47"/>
      <c r="C132" s="48"/>
      <c r="D132" s="49" t="s">
        <v>163</v>
      </c>
      <c r="E132">
        <v>538.54999999999995</v>
      </c>
      <c r="F132">
        <v>0</v>
      </c>
      <c r="G132">
        <v>45</v>
      </c>
      <c r="H132">
        <v>0</v>
      </c>
      <c r="I132" t="e">
        <f>ROUND(#REF!/12*3,2)</f>
        <v>#REF!</v>
      </c>
      <c r="J132" t="e">
        <f>ROUND(#REF!/12*3,2)</f>
        <v>#REF!</v>
      </c>
      <c r="M132" s="21">
        <v>150</v>
      </c>
      <c r="N132" s="21">
        <v>38.54</v>
      </c>
      <c r="O132" s="21"/>
      <c r="P132" s="21"/>
      <c r="Q132">
        <v>550</v>
      </c>
      <c r="R132" s="28">
        <v>38.54</v>
      </c>
      <c r="S132">
        <f t="shared" si="76"/>
        <v>600</v>
      </c>
      <c r="T132">
        <f t="shared" si="76"/>
        <v>154.16</v>
      </c>
      <c r="U132" s="23">
        <f t="shared" si="39"/>
        <v>550</v>
      </c>
      <c r="V132" s="23">
        <f t="shared" si="40"/>
        <v>38.54</v>
      </c>
    </row>
    <row r="133" spans="1:22" ht="37.5">
      <c r="A133" s="47">
        <v>34</v>
      </c>
      <c r="B133" s="47"/>
      <c r="C133" s="48"/>
      <c r="D133" s="49" t="s">
        <v>164</v>
      </c>
      <c r="E133">
        <v>585.20000000000005</v>
      </c>
      <c r="F133">
        <v>0</v>
      </c>
      <c r="G133">
        <v>49</v>
      </c>
      <c r="H133">
        <v>0</v>
      </c>
      <c r="I133" t="e">
        <f>ROUND(#REF!/12*3,2)</f>
        <v>#REF!</v>
      </c>
      <c r="J133" t="e">
        <f>ROUND(#REF!/12*3,2)</f>
        <v>#REF!</v>
      </c>
      <c r="M133" s="21">
        <f>180-40</f>
        <v>140</v>
      </c>
      <c r="N133" s="21">
        <v>0</v>
      </c>
      <c r="O133" s="21"/>
      <c r="P133" s="21"/>
      <c r="Q133">
        <v>610</v>
      </c>
      <c r="S133">
        <f t="shared" si="76"/>
        <v>560</v>
      </c>
      <c r="T133">
        <f t="shared" si="76"/>
        <v>0</v>
      </c>
      <c r="U133" s="23">
        <f t="shared" si="39"/>
        <v>560</v>
      </c>
      <c r="V133" s="23">
        <f t="shared" si="40"/>
        <v>0</v>
      </c>
    </row>
    <row r="134" spans="1:22" ht="18.75">
      <c r="A134" s="50"/>
      <c r="B134" s="50" t="s">
        <v>165</v>
      </c>
      <c r="C134" s="51" t="s">
        <v>9</v>
      </c>
      <c r="D134" s="43" t="s">
        <v>163</v>
      </c>
      <c r="E134" s="1">
        <f t="shared" ref="E134:R134" si="77">+E132+E133</f>
        <v>1123.75</v>
      </c>
      <c r="F134" s="1">
        <f t="shared" si="77"/>
        <v>0</v>
      </c>
      <c r="G134" s="1">
        <f t="shared" si="77"/>
        <v>94</v>
      </c>
      <c r="H134" s="1">
        <f t="shared" si="77"/>
        <v>0</v>
      </c>
      <c r="I134" s="1" t="e">
        <f t="shared" si="77"/>
        <v>#REF!</v>
      </c>
      <c r="J134" s="13" t="e">
        <f t="shared" si="77"/>
        <v>#REF!</v>
      </c>
      <c r="K134" s="1">
        <f t="shared" si="77"/>
        <v>0</v>
      </c>
      <c r="L134" s="1">
        <f t="shared" si="77"/>
        <v>0</v>
      </c>
      <c r="M134" s="1">
        <f t="shared" si="77"/>
        <v>290</v>
      </c>
      <c r="N134" s="1">
        <f t="shared" si="77"/>
        <v>38.54</v>
      </c>
      <c r="O134" s="1">
        <f t="shared" si="77"/>
        <v>0</v>
      </c>
      <c r="P134" s="1">
        <f t="shared" si="77"/>
        <v>0</v>
      </c>
      <c r="Q134" s="1">
        <f t="shared" si="77"/>
        <v>1160</v>
      </c>
      <c r="R134" s="1">
        <f t="shared" si="77"/>
        <v>38.54</v>
      </c>
      <c r="S134" s="1">
        <f t="shared" ref="S134:V134" si="78">+S132+S133</f>
        <v>1160</v>
      </c>
      <c r="T134" s="13">
        <f t="shared" si="78"/>
        <v>154.16</v>
      </c>
      <c r="U134" s="34">
        <f t="shared" si="78"/>
        <v>1110</v>
      </c>
      <c r="V134" s="34">
        <f t="shared" si="78"/>
        <v>38.54</v>
      </c>
    </row>
    <row r="135" spans="1:22" ht="18.75">
      <c r="A135" s="50"/>
      <c r="B135" s="50"/>
      <c r="C135" s="51"/>
      <c r="D135" s="43" t="s">
        <v>166</v>
      </c>
      <c r="E135" s="4">
        <f t="shared" ref="E135:Q135" si="79">+E134+E131+E130+E129+E128+E127+E126+E125+E117+E118+E119+E122+E110+E113+E114+E104+E107+E101+E98+E95+E94+E93+E90</f>
        <v>42076.97</v>
      </c>
      <c r="F135" s="4">
        <f t="shared" si="79"/>
        <v>15324.289999999999</v>
      </c>
      <c r="G135" s="4">
        <f t="shared" si="79"/>
        <v>3508</v>
      </c>
      <c r="H135" s="4">
        <f t="shared" si="79"/>
        <v>1254</v>
      </c>
      <c r="I135" s="4" t="e">
        <f t="shared" si="79"/>
        <v>#REF!</v>
      </c>
      <c r="J135" s="18" t="e">
        <f t="shared" si="79"/>
        <v>#REF!</v>
      </c>
      <c r="K135" s="4">
        <f t="shared" si="79"/>
        <v>0</v>
      </c>
      <c r="L135" s="4">
        <f t="shared" si="79"/>
        <v>0</v>
      </c>
      <c r="M135" s="4">
        <f t="shared" si="79"/>
        <v>10501.67</v>
      </c>
      <c r="N135" s="4">
        <f t="shared" si="79"/>
        <v>3456.04</v>
      </c>
      <c r="O135" s="4">
        <f t="shared" si="79"/>
        <v>0</v>
      </c>
      <c r="P135" s="4">
        <f t="shared" si="79"/>
        <v>248</v>
      </c>
      <c r="Q135" s="4">
        <f t="shared" si="79"/>
        <v>44354.18</v>
      </c>
      <c r="R135" s="4">
        <f t="shared" ref="R135:V135" si="80">+R134+R131+R130+R129+R128+R127+R126+R125+R117+R118+R119+R122+R110+R113+R114+R104+R107+R101+R98+R95+R94+R93+R90</f>
        <v>13618.54</v>
      </c>
      <c r="S135" s="4">
        <f t="shared" si="80"/>
        <v>42006.68</v>
      </c>
      <c r="T135" s="18">
        <f t="shared" si="80"/>
        <v>14077.16</v>
      </c>
      <c r="U135" s="35">
        <f t="shared" si="80"/>
        <v>41060.019999999997</v>
      </c>
      <c r="V135" s="35">
        <f t="shared" si="80"/>
        <v>13049.54</v>
      </c>
    </row>
    <row r="136" spans="1:22" ht="18.75">
      <c r="A136" s="50">
        <v>1</v>
      </c>
      <c r="B136" s="50" t="s">
        <v>167</v>
      </c>
      <c r="C136" s="51" t="s">
        <v>36</v>
      </c>
      <c r="D136" s="43" t="s">
        <v>168</v>
      </c>
      <c r="E136">
        <v>1442.5</v>
      </c>
      <c r="F136">
        <v>632.53</v>
      </c>
      <c r="G136">
        <v>120</v>
      </c>
      <c r="H136">
        <v>53</v>
      </c>
      <c r="I136" t="e">
        <f>ROUND(#REF!/12*3,2)</f>
        <v>#REF!</v>
      </c>
      <c r="J136" t="e">
        <f>ROUND(#REF!/12*3,2)</f>
        <v>#REF!</v>
      </c>
      <c r="M136" s="21">
        <v>350</v>
      </c>
      <c r="N136" s="21">
        <v>25</v>
      </c>
      <c r="O136" s="21"/>
      <c r="P136" s="21"/>
      <c r="Q136">
        <v>1300</v>
      </c>
      <c r="R136">
        <v>400</v>
      </c>
      <c r="S136">
        <f t="shared" ref="S136:T138" si="81">ROUND(M136/3*12,2)</f>
        <v>1400</v>
      </c>
      <c r="T136">
        <f t="shared" si="81"/>
        <v>100</v>
      </c>
      <c r="U136" s="23">
        <f t="shared" ref="U136:U197" si="82">IF(Q136&lt;S136,Q136,S136)</f>
        <v>1300</v>
      </c>
      <c r="V136" s="23">
        <f t="shared" ref="V136:V197" si="83">IF(R136&lt;T136,R136,T136)</f>
        <v>100</v>
      </c>
    </row>
    <row r="137" spans="1:22" ht="18.75">
      <c r="A137" s="47">
        <v>2</v>
      </c>
      <c r="B137" s="47"/>
      <c r="C137" s="48"/>
      <c r="D137" s="49" t="s">
        <v>169</v>
      </c>
      <c r="E137">
        <v>2280.08</v>
      </c>
      <c r="F137">
        <v>325.47000000000003</v>
      </c>
      <c r="G137">
        <v>190</v>
      </c>
      <c r="H137">
        <v>27</v>
      </c>
      <c r="I137" t="e">
        <f>ROUND(#REF!/12*3,2)</f>
        <v>#REF!</v>
      </c>
      <c r="J137" t="e">
        <f>ROUND(#REF!/12*3,2)</f>
        <v>#REF!</v>
      </c>
      <c r="M137" s="21">
        <v>570</v>
      </c>
      <c r="N137" s="21">
        <v>60</v>
      </c>
      <c r="O137" s="21"/>
      <c r="P137" s="21"/>
      <c r="Q137">
        <v>2432.54</v>
      </c>
      <c r="R137">
        <v>125</v>
      </c>
      <c r="S137">
        <f t="shared" si="81"/>
        <v>2280</v>
      </c>
      <c r="T137">
        <f t="shared" si="81"/>
        <v>240</v>
      </c>
      <c r="U137" s="23">
        <f t="shared" si="82"/>
        <v>2280</v>
      </c>
      <c r="V137" s="23">
        <f t="shared" si="83"/>
        <v>125</v>
      </c>
    </row>
    <row r="138" spans="1:22" ht="18.75">
      <c r="A138" s="47">
        <v>3</v>
      </c>
      <c r="B138" s="47"/>
      <c r="C138" s="48"/>
      <c r="D138" s="49" t="s">
        <v>170</v>
      </c>
      <c r="E138">
        <v>52.97</v>
      </c>
      <c r="F138">
        <v>0</v>
      </c>
      <c r="G138">
        <v>4</v>
      </c>
      <c r="H138">
        <v>0</v>
      </c>
      <c r="I138" t="e">
        <f>ROUND(#REF!/12*3,2)</f>
        <v>#REF!</v>
      </c>
      <c r="J138" t="e">
        <f>ROUND(#REF!/12*3,2)</f>
        <v>#REF!</v>
      </c>
      <c r="M138" s="21">
        <v>0</v>
      </c>
      <c r="N138" s="21">
        <v>0</v>
      </c>
      <c r="O138" s="21"/>
      <c r="P138" s="21"/>
      <c r="S138">
        <f t="shared" si="81"/>
        <v>0</v>
      </c>
      <c r="T138">
        <f t="shared" si="81"/>
        <v>0</v>
      </c>
      <c r="U138" s="23">
        <f t="shared" si="82"/>
        <v>0</v>
      </c>
      <c r="V138" s="23">
        <f t="shared" si="83"/>
        <v>0</v>
      </c>
    </row>
    <row r="139" spans="1:22" ht="18.75">
      <c r="A139" s="50"/>
      <c r="B139" s="50" t="s">
        <v>171</v>
      </c>
      <c r="C139" s="51" t="s">
        <v>92</v>
      </c>
      <c r="D139" s="43" t="s">
        <v>169</v>
      </c>
      <c r="E139" s="1">
        <f t="shared" ref="E139:S139" si="84">+E137+E138</f>
        <v>2333.0499999999997</v>
      </c>
      <c r="F139" s="1">
        <f t="shared" si="84"/>
        <v>325.47000000000003</v>
      </c>
      <c r="G139" s="1">
        <f t="shared" si="84"/>
        <v>194</v>
      </c>
      <c r="H139" s="1">
        <f t="shared" si="84"/>
        <v>27</v>
      </c>
      <c r="I139" s="1" t="e">
        <f t="shared" si="84"/>
        <v>#REF!</v>
      </c>
      <c r="J139" s="13" t="e">
        <f t="shared" si="84"/>
        <v>#REF!</v>
      </c>
      <c r="K139" s="1">
        <f t="shared" si="84"/>
        <v>0</v>
      </c>
      <c r="L139" s="1">
        <f t="shared" si="84"/>
        <v>0</v>
      </c>
      <c r="M139" s="1">
        <f t="shared" si="84"/>
        <v>570</v>
      </c>
      <c r="N139" s="1">
        <f t="shared" si="84"/>
        <v>60</v>
      </c>
      <c r="O139" s="1">
        <f t="shared" si="84"/>
        <v>0</v>
      </c>
      <c r="P139" s="1">
        <f t="shared" si="84"/>
        <v>0</v>
      </c>
      <c r="Q139" s="1">
        <f t="shared" si="84"/>
        <v>2432.54</v>
      </c>
      <c r="R139" s="1">
        <f t="shared" si="84"/>
        <v>125</v>
      </c>
      <c r="S139" s="1">
        <f t="shared" si="84"/>
        <v>2280</v>
      </c>
      <c r="T139" s="13">
        <f t="shared" ref="T139:U139" si="85">+T137+T138</f>
        <v>240</v>
      </c>
      <c r="U139" s="34">
        <f t="shared" si="85"/>
        <v>2280</v>
      </c>
      <c r="V139" s="34">
        <f t="shared" ref="V139" si="86">+V137+V138</f>
        <v>125</v>
      </c>
    </row>
    <row r="140" spans="1:22" ht="18.75">
      <c r="A140" s="47">
        <v>4</v>
      </c>
      <c r="B140" s="47"/>
      <c r="C140" s="48"/>
      <c r="D140" s="49" t="s">
        <v>172</v>
      </c>
      <c r="E140">
        <v>2202.0700000000002</v>
      </c>
      <c r="F140">
        <v>794.8</v>
      </c>
      <c r="G140">
        <v>184</v>
      </c>
      <c r="H140">
        <v>66</v>
      </c>
      <c r="I140" t="e">
        <f>ROUND(#REF!/12*3,2)</f>
        <v>#REF!</v>
      </c>
      <c r="J140" t="e">
        <f>ROUND(#REF!/12*3,2)</f>
        <v>#REF!</v>
      </c>
      <c r="M140" s="21">
        <v>525</v>
      </c>
      <c r="N140" s="21">
        <v>80</v>
      </c>
      <c r="O140" s="21"/>
      <c r="P140" s="21"/>
      <c r="Q140">
        <v>2450</v>
      </c>
      <c r="R140">
        <v>750</v>
      </c>
      <c r="S140">
        <f>ROUND(M140/3*12,2)</f>
        <v>2100</v>
      </c>
      <c r="T140">
        <f>ROUND(N140/3*12,2)</f>
        <v>320</v>
      </c>
      <c r="U140" s="23">
        <f t="shared" si="82"/>
        <v>2100</v>
      </c>
      <c r="V140" s="23">
        <f t="shared" si="83"/>
        <v>320</v>
      </c>
    </row>
    <row r="141" spans="1:22" ht="18.75">
      <c r="A141" s="47">
        <v>5</v>
      </c>
      <c r="B141" s="47"/>
      <c r="C141" s="48"/>
      <c r="D141" s="49" t="s">
        <v>173</v>
      </c>
      <c r="E141">
        <v>0</v>
      </c>
      <c r="F141">
        <v>0</v>
      </c>
      <c r="G141">
        <v>0</v>
      </c>
      <c r="H141">
        <v>0</v>
      </c>
      <c r="I141" t="e">
        <f>ROUND(#REF!/12*3,2)</f>
        <v>#REF!</v>
      </c>
      <c r="J141" t="e">
        <f>ROUND(#REF!/12*3,2)</f>
        <v>#REF!</v>
      </c>
      <c r="M141" s="21">
        <v>0</v>
      </c>
      <c r="N141" s="21">
        <v>0</v>
      </c>
      <c r="O141" s="21"/>
      <c r="P141" s="21"/>
      <c r="S141">
        <f>ROUND(M141/3*12,2)</f>
        <v>0</v>
      </c>
      <c r="T141">
        <f>ROUND(N141/3*12,2)</f>
        <v>0</v>
      </c>
      <c r="U141" s="23">
        <f t="shared" si="82"/>
        <v>0</v>
      </c>
      <c r="V141" s="23">
        <f t="shared" si="83"/>
        <v>0</v>
      </c>
    </row>
    <row r="142" spans="1:22" ht="18.75">
      <c r="A142" s="50"/>
      <c r="B142" s="50" t="s">
        <v>174</v>
      </c>
      <c r="C142" s="51" t="s">
        <v>36</v>
      </c>
      <c r="D142" s="43" t="s">
        <v>172</v>
      </c>
      <c r="E142" s="1">
        <f t="shared" ref="E142:Q142" si="87">+E140+E141</f>
        <v>2202.0700000000002</v>
      </c>
      <c r="F142" s="1">
        <f t="shared" si="87"/>
        <v>794.8</v>
      </c>
      <c r="G142" s="1">
        <f t="shared" si="87"/>
        <v>184</v>
      </c>
      <c r="H142" s="1">
        <f t="shared" si="87"/>
        <v>66</v>
      </c>
      <c r="I142" s="1" t="e">
        <f t="shared" si="87"/>
        <v>#REF!</v>
      </c>
      <c r="J142" s="13" t="e">
        <f t="shared" si="87"/>
        <v>#REF!</v>
      </c>
      <c r="K142" s="1">
        <f t="shared" si="87"/>
        <v>0</v>
      </c>
      <c r="L142" s="1">
        <f t="shared" si="87"/>
        <v>0</v>
      </c>
      <c r="M142" s="1">
        <f t="shared" si="87"/>
        <v>525</v>
      </c>
      <c r="N142" s="1">
        <f t="shared" si="87"/>
        <v>80</v>
      </c>
      <c r="O142" s="1">
        <f t="shared" si="87"/>
        <v>0</v>
      </c>
      <c r="P142" s="1">
        <f t="shared" si="87"/>
        <v>0</v>
      </c>
      <c r="Q142" s="1">
        <f t="shared" si="87"/>
        <v>2450</v>
      </c>
      <c r="R142" s="1">
        <f t="shared" ref="R142:V142" si="88">+R140+R141</f>
        <v>750</v>
      </c>
      <c r="S142" s="1">
        <f t="shared" si="88"/>
        <v>2100</v>
      </c>
      <c r="T142" s="13">
        <f t="shared" si="88"/>
        <v>320</v>
      </c>
      <c r="U142" s="34">
        <f t="shared" si="88"/>
        <v>2100</v>
      </c>
      <c r="V142" s="34">
        <f t="shared" si="88"/>
        <v>320</v>
      </c>
    </row>
    <row r="143" spans="1:22" ht="18.75">
      <c r="A143" s="47">
        <v>6</v>
      </c>
      <c r="B143" s="47"/>
      <c r="C143" s="48"/>
      <c r="D143" s="49" t="s">
        <v>175</v>
      </c>
      <c r="E143">
        <v>2883.22</v>
      </c>
      <c r="F143">
        <v>457.27</v>
      </c>
      <c r="G143">
        <v>240</v>
      </c>
      <c r="H143">
        <v>38</v>
      </c>
      <c r="I143" t="e">
        <f>ROUND(#REF!/12*3,2)</f>
        <v>#REF!</v>
      </c>
      <c r="J143" t="e">
        <f>ROUND(#REF!/12*3,2)</f>
        <v>#REF!</v>
      </c>
      <c r="M143" s="24">
        <f>750.5-20</f>
        <v>730.5</v>
      </c>
      <c r="N143" s="21">
        <v>50.3</v>
      </c>
      <c r="O143" s="21"/>
      <c r="P143" s="21"/>
      <c r="Q143">
        <v>3200</v>
      </c>
      <c r="R143">
        <v>350</v>
      </c>
      <c r="S143">
        <f t="shared" ref="S143:T145" si="89">ROUND(M143/3*12,2)</f>
        <v>2922</v>
      </c>
      <c r="T143">
        <f t="shared" si="89"/>
        <v>201.2</v>
      </c>
      <c r="U143" s="23">
        <f t="shared" si="82"/>
        <v>2922</v>
      </c>
      <c r="V143" s="23">
        <f>IF(R143&lt;T143,R143,T143)+0.67</f>
        <v>201.86999999999998</v>
      </c>
    </row>
    <row r="144" spans="1:22" ht="37.5">
      <c r="A144" s="47">
        <v>7</v>
      </c>
      <c r="B144" s="47"/>
      <c r="C144" s="48"/>
      <c r="D144" s="49" t="s">
        <v>176</v>
      </c>
      <c r="E144">
        <v>0</v>
      </c>
      <c r="F144">
        <v>0</v>
      </c>
      <c r="G144">
        <v>0</v>
      </c>
      <c r="H144">
        <v>0</v>
      </c>
      <c r="I144" t="e">
        <f>ROUND(#REF!/12*3,2)</f>
        <v>#REF!</v>
      </c>
      <c r="J144" t="e">
        <f>ROUND(#REF!/12*3,2)</f>
        <v>#REF!</v>
      </c>
      <c r="M144" s="21">
        <v>0</v>
      </c>
      <c r="N144" s="21">
        <v>0</v>
      </c>
      <c r="O144" s="21"/>
      <c r="P144" s="21"/>
      <c r="S144">
        <f t="shared" si="89"/>
        <v>0</v>
      </c>
      <c r="T144">
        <f t="shared" si="89"/>
        <v>0</v>
      </c>
      <c r="U144" s="23">
        <f t="shared" si="82"/>
        <v>0</v>
      </c>
      <c r="V144" s="23">
        <f t="shared" si="83"/>
        <v>0</v>
      </c>
    </row>
    <row r="145" spans="1:22" ht="37.5">
      <c r="A145" s="47">
        <v>8</v>
      </c>
      <c r="B145" s="47"/>
      <c r="C145" s="48"/>
      <c r="D145" s="49" t="s">
        <v>177</v>
      </c>
      <c r="E145">
        <v>48</v>
      </c>
      <c r="F145">
        <v>0</v>
      </c>
      <c r="G145">
        <v>4</v>
      </c>
      <c r="H145">
        <v>0</v>
      </c>
      <c r="I145" t="e">
        <f>ROUND(#REF!/12*3,2)</f>
        <v>#REF!</v>
      </c>
      <c r="J145" t="e">
        <f>ROUND(#REF!/12*3,2)</f>
        <v>#REF!</v>
      </c>
      <c r="M145" s="21">
        <v>0</v>
      </c>
      <c r="N145" s="21">
        <v>0</v>
      </c>
      <c r="O145" s="21"/>
      <c r="P145" s="21"/>
      <c r="Q145">
        <v>0</v>
      </c>
      <c r="S145">
        <f t="shared" si="89"/>
        <v>0</v>
      </c>
      <c r="T145">
        <f t="shared" si="89"/>
        <v>0</v>
      </c>
      <c r="U145" s="23">
        <f t="shared" si="82"/>
        <v>0</v>
      </c>
      <c r="V145" s="23">
        <f t="shared" si="83"/>
        <v>0</v>
      </c>
    </row>
    <row r="146" spans="1:22" ht="18.75">
      <c r="A146" s="50"/>
      <c r="B146" s="50" t="s">
        <v>178</v>
      </c>
      <c r="C146" s="51" t="s">
        <v>66</v>
      </c>
      <c r="D146" s="43" t="s">
        <v>175</v>
      </c>
      <c r="E146" s="1">
        <f t="shared" ref="E146:Q146" si="90">+E143+E144+E145</f>
        <v>2931.22</v>
      </c>
      <c r="F146" s="1">
        <f t="shared" si="90"/>
        <v>457.27</v>
      </c>
      <c r="G146" s="1">
        <f t="shared" si="90"/>
        <v>244</v>
      </c>
      <c r="H146" s="1">
        <f t="shared" si="90"/>
        <v>38</v>
      </c>
      <c r="I146" s="1" t="e">
        <f t="shared" si="90"/>
        <v>#REF!</v>
      </c>
      <c r="J146" s="13" t="e">
        <f t="shared" si="90"/>
        <v>#REF!</v>
      </c>
      <c r="K146" s="1">
        <f t="shared" si="90"/>
        <v>0</v>
      </c>
      <c r="L146" s="1">
        <f t="shared" si="90"/>
        <v>0</v>
      </c>
      <c r="M146" s="1">
        <f t="shared" si="90"/>
        <v>730.5</v>
      </c>
      <c r="N146" s="1">
        <f t="shared" si="90"/>
        <v>50.3</v>
      </c>
      <c r="O146" s="1">
        <f t="shared" si="90"/>
        <v>0</v>
      </c>
      <c r="P146" s="1">
        <f t="shared" si="90"/>
        <v>0</v>
      </c>
      <c r="Q146" s="1">
        <f t="shared" si="90"/>
        <v>3200</v>
      </c>
      <c r="R146" s="1">
        <f t="shared" ref="R146:V146" si="91">+R143+R144+R145</f>
        <v>350</v>
      </c>
      <c r="S146" s="1">
        <f t="shared" si="91"/>
        <v>2922</v>
      </c>
      <c r="T146" s="13">
        <f t="shared" si="91"/>
        <v>201.2</v>
      </c>
      <c r="U146" s="34">
        <f t="shared" si="91"/>
        <v>2922</v>
      </c>
      <c r="V146" s="34">
        <f t="shared" si="91"/>
        <v>201.86999999999998</v>
      </c>
    </row>
    <row r="147" spans="1:22" ht="18.75">
      <c r="A147" s="47">
        <v>9</v>
      </c>
      <c r="B147" s="47"/>
      <c r="C147" s="48"/>
      <c r="D147" s="49" t="s">
        <v>179</v>
      </c>
      <c r="E147">
        <v>15330.59</v>
      </c>
      <c r="F147">
        <v>20420.27</v>
      </c>
      <c r="G147">
        <v>1500</v>
      </c>
      <c r="H147" s="14">
        <v>2500</v>
      </c>
      <c r="I147" t="e">
        <f>ROUND(#REF!/12*3,2)</f>
        <v>#REF!</v>
      </c>
      <c r="J147" t="e">
        <f>ROUND(#REF!/12*3,2)</f>
        <v>#REF!</v>
      </c>
      <c r="K147" s="11"/>
      <c r="L147" s="11"/>
      <c r="M147" s="21">
        <v>3900</v>
      </c>
      <c r="N147" s="24">
        <f>5900-900</f>
        <v>5000</v>
      </c>
      <c r="O147" s="24"/>
      <c r="P147" s="24"/>
      <c r="Q147">
        <v>15300</v>
      </c>
      <c r="R147">
        <v>19000</v>
      </c>
      <c r="S147">
        <f t="shared" ref="S147:S155" si="92">ROUND(M147/3*12,2)</f>
        <v>15600</v>
      </c>
      <c r="T147">
        <f t="shared" ref="T147:T155" si="93">ROUND(N147/3*12,2)</f>
        <v>20000</v>
      </c>
      <c r="U147" s="23">
        <f t="shared" si="82"/>
        <v>15300</v>
      </c>
      <c r="V147" s="23">
        <f t="shared" si="83"/>
        <v>19000</v>
      </c>
    </row>
    <row r="148" spans="1:22" ht="37.5">
      <c r="A148" s="47">
        <v>10</v>
      </c>
      <c r="B148" s="47"/>
      <c r="C148" s="48"/>
      <c r="D148" s="49" t="s">
        <v>180</v>
      </c>
      <c r="E148">
        <v>0</v>
      </c>
      <c r="F148">
        <v>0</v>
      </c>
      <c r="G148">
        <v>0</v>
      </c>
      <c r="H148">
        <v>0</v>
      </c>
      <c r="I148" t="e">
        <f>ROUND(#REF!/12*3,2)</f>
        <v>#REF!</v>
      </c>
      <c r="J148" t="e">
        <f>ROUND(#REF!/12*3,2)</f>
        <v>#REF!</v>
      </c>
      <c r="S148">
        <f t="shared" si="92"/>
        <v>0</v>
      </c>
      <c r="T148">
        <f t="shared" si="93"/>
        <v>0</v>
      </c>
      <c r="U148" s="23">
        <f t="shared" si="82"/>
        <v>0</v>
      </c>
      <c r="V148" s="23">
        <f t="shared" si="83"/>
        <v>0</v>
      </c>
    </row>
    <row r="149" spans="1:22" ht="37.5">
      <c r="A149" s="47">
        <v>11</v>
      </c>
      <c r="B149" s="47"/>
      <c r="C149" s="48"/>
      <c r="D149" s="49" t="s">
        <v>181</v>
      </c>
      <c r="E149">
        <v>0</v>
      </c>
      <c r="F149">
        <v>0</v>
      </c>
      <c r="G149">
        <v>0</v>
      </c>
      <c r="H149">
        <v>0</v>
      </c>
      <c r="I149" t="e">
        <f>ROUND(#REF!/12*3,2)</f>
        <v>#REF!</v>
      </c>
      <c r="J149" t="e">
        <f>ROUND(#REF!/12*3,2)</f>
        <v>#REF!</v>
      </c>
      <c r="S149">
        <f t="shared" si="92"/>
        <v>0</v>
      </c>
      <c r="T149">
        <f t="shared" si="93"/>
        <v>0</v>
      </c>
      <c r="U149" s="23">
        <f t="shared" si="82"/>
        <v>0</v>
      </c>
      <c r="V149" s="23">
        <f t="shared" si="83"/>
        <v>0</v>
      </c>
    </row>
    <row r="150" spans="1:22" ht="37.5">
      <c r="A150" s="47">
        <v>12</v>
      </c>
      <c r="B150" s="47"/>
      <c r="C150" s="48"/>
      <c r="D150" s="49" t="s">
        <v>182</v>
      </c>
      <c r="E150">
        <v>0</v>
      </c>
      <c r="F150">
        <v>0</v>
      </c>
      <c r="G150">
        <v>0</v>
      </c>
      <c r="H150">
        <v>0</v>
      </c>
      <c r="I150" t="e">
        <f>ROUND(#REF!/12*3,2)</f>
        <v>#REF!</v>
      </c>
      <c r="J150" t="e">
        <f>ROUND(#REF!/12*3,2)</f>
        <v>#REF!</v>
      </c>
      <c r="S150">
        <f t="shared" si="92"/>
        <v>0</v>
      </c>
      <c r="T150">
        <f t="shared" si="93"/>
        <v>0</v>
      </c>
      <c r="U150" s="23">
        <f t="shared" si="82"/>
        <v>0</v>
      </c>
      <c r="V150" s="23">
        <f t="shared" si="83"/>
        <v>0</v>
      </c>
    </row>
    <row r="151" spans="1:22" ht="18.75">
      <c r="A151" s="47">
        <v>13</v>
      </c>
      <c r="B151" s="47"/>
      <c r="C151" s="48"/>
      <c r="D151" s="49" t="s">
        <v>183</v>
      </c>
      <c r="E151">
        <v>0</v>
      </c>
      <c r="F151">
        <v>0</v>
      </c>
      <c r="G151">
        <v>0</v>
      </c>
      <c r="H151">
        <v>0</v>
      </c>
      <c r="I151" t="e">
        <f>ROUND(#REF!/12*3,2)</f>
        <v>#REF!</v>
      </c>
      <c r="J151" t="e">
        <f>ROUND(#REF!/12*3,2)</f>
        <v>#REF!</v>
      </c>
      <c r="S151">
        <f t="shared" si="92"/>
        <v>0</v>
      </c>
      <c r="T151">
        <f t="shared" si="93"/>
        <v>0</v>
      </c>
      <c r="U151" s="23">
        <f t="shared" si="82"/>
        <v>0</v>
      </c>
      <c r="V151" s="23">
        <f t="shared" si="83"/>
        <v>0</v>
      </c>
    </row>
    <row r="152" spans="1:22" ht="18.75">
      <c r="A152" s="47">
        <v>14</v>
      </c>
      <c r="B152" s="47"/>
      <c r="C152" s="48"/>
      <c r="D152" s="49" t="s">
        <v>184</v>
      </c>
      <c r="E152">
        <v>0</v>
      </c>
      <c r="F152">
        <v>0</v>
      </c>
      <c r="G152">
        <v>0</v>
      </c>
      <c r="H152">
        <v>0</v>
      </c>
      <c r="I152" t="e">
        <f>ROUND(#REF!/12*3,2)</f>
        <v>#REF!</v>
      </c>
      <c r="J152" t="e">
        <f>ROUND(#REF!/12*3,2)</f>
        <v>#REF!</v>
      </c>
      <c r="S152">
        <f t="shared" si="92"/>
        <v>0</v>
      </c>
      <c r="T152">
        <f t="shared" si="93"/>
        <v>0</v>
      </c>
      <c r="U152" s="23">
        <f t="shared" si="82"/>
        <v>0</v>
      </c>
      <c r="V152" s="23">
        <f t="shared" si="83"/>
        <v>0</v>
      </c>
    </row>
    <row r="153" spans="1:22" ht="37.5">
      <c r="A153" s="47">
        <v>15</v>
      </c>
      <c r="B153" s="47"/>
      <c r="C153" s="48"/>
      <c r="D153" s="49" t="s">
        <v>185</v>
      </c>
      <c r="E153">
        <v>0</v>
      </c>
      <c r="F153">
        <v>0</v>
      </c>
      <c r="G153">
        <v>0</v>
      </c>
      <c r="H153">
        <v>0</v>
      </c>
      <c r="I153" t="e">
        <f>ROUND(#REF!/12*3,2)</f>
        <v>#REF!</v>
      </c>
      <c r="J153" t="e">
        <f>ROUND(#REF!/12*3,2)</f>
        <v>#REF!</v>
      </c>
      <c r="S153">
        <f t="shared" si="92"/>
        <v>0</v>
      </c>
      <c r="T153">
        <f t="shared" si="93"/>
        <v>0</v>
      </c>
      <c r="U153" s="23">
        <f t="shared" si="82"/>
        <v>0</v>
      </c>
      <c r="V153" s="23">
        <f t="shared" si="83"/>
        <v>0</v>
      </c>
    </row>
    <row r="154" spans="1:22" ht="37.5">
      <c r="A154" s="47">
        <v>16</v>
      </c>
      <c r="B154" s="47"/>
      <c r="C154" s="48"/>
      <c r="D154" s="49" t="s">
        <v>186</v>
      </c>
      <c r="E154">
        <v>0</v>
      </c>
      <c r="F154">
        <v>0</v>
      </c>
      <c r="G154">
        <v>0</v>
      </c>
      <c r="H154">
        <v>0</v>
      </c>
      <c r="I154" t="e">
        <f>ROUND(#REF!/12*3,2)</f>
        <v>#REF!</v>
      </c>
      <c r="J154" t="e">
        <f>ROUND(#REF!/12*3,2)</f>
        <v>#REF!</v>
      </c>
      <c r="S154">
        <f t="shared" si="92"/>
        <v>0</v>
      </c>
      <c r="T154">
        <f t="shared" si="93"/>
        <v>0</v>
      </c>
      <c r="U154" s="23">
        <f t="shared" si="82"/>
        <v>0</v>
      </c>
      <c r="V154" s="23">
        <f t="shared" si="83"/>
        <v>0</v>
      </c>
    </row>
    <row r="155" spans="1:22" ht="18.75">
      <c r="A155" s="47">
        <v>17</v>
      </c>
      <c r="B155" s="47"/>
      <c r="C155" s="48"/>
      <c r="D155" s="49" t="s">
        <v>187</v>
      </c>
      <c r="E155">
        <v>0</v>
      </c>
      <c r="F155">
        <v>0</v>
      </c>
      <c r="G155">
        <v>0</v>
      </c>
      <c r="H155">
        <v>0</v>
      </c>
      <c r="I155" t="e">
        <f>ROUND(#REF!/12*3,2)</f>
        <v>#REF!</v>
      </c>
      <c r="J155" t="e">
        <f>ROUND(#REF!/12*3,2)</f>
        <v>#REF!</v>
      </c>
      <c r="S155">
        <f t="shared" si="92"/>
        <v>0</v>
      </c>
      <c r="T155">
        <f t="shared" si="93"/>
        <v>0</v>
      </c>
      <c r="U155" s="23">
        <f t="shared" si="82"/>
        <v>0</v>
      </c>
      <c r="V155" s="23">
        <f t="shared" si="83"/>
        <v>0</v>
      </c>
    </row>
    <row r="156" spans="1:22" ht="18.75">
      <c r="A156" s="50"/>
      <c r="B156" s="50" t="s">
        <v>188</v>
      </c>
      <c r="C156" s="51" t="s">
        <v>36</v>
      </c>
      <c r="D156" s="43" t="s">
        <v>179</v>
      </c>
      <c r="E156" s="1">
        <f t="shared" ref="E156:Q156" si="94">+E147+E148+E150+E149+E151+E152+E153+E154+E155</f>
        <v>15330.59</v>
      </c>
      <c r="F156" s="1">
        <f t="shared" si="94"/>
        <v>20420.27</v>
      </c>
      <c r="G156" s="1">
        <f t="shared" si="94"/>
        <v>1500</v>
      </c>
      <c r="H156" s="1">
        <f t="shared" si="94"/>
        <v>2500</v>
      </c>
      <c r="I156" s="1" t="e">
        <f t="shared" si="94"/>
        <v>#REF!</v>
      </c>
      <c r="J156" s="13" t="e">
        <f t="shared" si="94"/>
        <v>#REF!</v>
      </c>
      <c r="K156" s="1">
        <f t="shared" si="94"/>
        <v>0</v>
      </c>
      <c r="L156" s="1">
        <f t="shared" si="94"/>
        <v>0</v>
      </c>
      <c r="M156" s="1">
        <f t="shared" si="94"/>
        <v>3900</v>
      </c>
      <c r="N156" s="1">
        <f t="shared" si="94"/>
        <v>5000</v>
      </c>
      <c r="O156" s="1">
        <f t="shared" si="94"/>
        <v>0</v>
      </c>
      <c r="P156" s="1">
        <f t="shared" si="94"/>
        <v>0</v>
      </c>
      <c r="Q156" s="1">
        <f t="shared" si="94"/>
        <v>15300</v>
      </c>
      <c r="R156" s="1">
        <f t="shared" ref="R156:V156" si="95">+R147+R148+R150+R149+R151+R152+R153+R154+R155</f>
        <v>19000</v>
      </c>
      <c r="S156" s="1">
        <f t="shared" si="95"/>
        <v>15600</v>
      </c>
      <c r="T156" s="13">
        <f t="shared" si="95"/>
        <v>20000</v>
      </c>
      <c r="U156" s="34">
        <f t="shared" si="95"/>
        <v>15300</v>
      </c>
      <c r="V156" s="34">
        <f t="shared" si="95"/>
        <v>19000</v>
      </c>
    </row>
    <row r="157" spans="1:22" ht="18.75">
      <c r="A157" s="50">
        <v>18</v>
      </c>
      <c r="B157" s="50" t="s">
        <v>189</v>
      </c>
      <c r="C157" s="51" t="s">
        <v>73</v>
      </c>
      <c r="D157" s="43" t="s">
        <v>190</v>
      </c>
      <c r="E157">
        <v>903.1</v>
      </c>
      <c r="F157">
        <v>167.9</v>
      </c>
      <c r="G157">
        <v>75</v>
      </c>
      <c r="H157">
        <v>14</v>
      </c>
      <c r="I157" t="e">
        <f>ROUND(#REF!/12*3,2)</f>
        <v>#REF!</v>
      </c>
      <c r="J157" t="e">
        <f>ROUND(#REF!/12*3,2)</f>
        <v>#REF!</v>
      </c>
      <c r="M157" s="21">
        <v>230</v>
      </c>
      <c r="N157" s="21">
        <v>0</v>
      </c>
      <c r="O157" s="21"/>
      <c r="P157" s="21"/>
      <c r="Q157">
        <v>920</v>
      </c>
      <c r="R157" s="29">
        <v>120</v>
      </c>
      <c r="S157">
        <f t="shared" ref="S157:T159" si="96">ROUND(M157/3*12,2)</f>
        <v>920</v>
      </c>
      <c r="T157">
        <f t="shared" si="96"/>
        <v>0</v>
      </c>
      <c r="U157" s="23">
        <f t="shared" si="82"/>
        <v>920</v>
      </c>
      <c r="V157" s="23">
        <f>IF(R157&lt;T157,R157,T157)+120</f>
        <v>120</v>
      </c>
    </row>
    <row r="158" spans="1:22" ht="18.75">
      <c r="A158" s="47">
        <v>19</v>
      </c>
      <c r="B158" s="47"/>
      <c r="C158" s="48"/>
      <c r="D158" s="49" t="s">
        <v>191</v>
      </c>
      <c r="E158">
        <v>1195</v>
      </c>
      <c r="F158">
        <v>333.5</v>
      </c>
      <c r="G158">
        <v>100</v>
      </c>
      <c r="H158">
        <v>28</v>
      </c>
      <c r="I158" t="e">
        <f>ROUND(#REF!/12*3,2)</f>
        <v>#REF!</v>
      </c>
      <c r="J158" t="e">
        <f>ROUND(#REF!/12*3,2)</f>
        <v>#REF!</v>
      </c>
      <c r="M158" s="21">
        <v>300</v>
      </c>
      <c r="N158" s="24">
        <f>135-50</f>
        <v>85</v>
      </c>
      <c r="O158" s="24"/>
      <c r="P158" s="24">
        <v>50</v>
      </c>
      <c r="Q158">
        <v>1200</v>
      </c>
      <c r="R158">
        <v>250</v>
      </c>
      <c r="S158">
        <f t="shared" si="96"/>
        <v>1200</v>
      </c>
      <c r="T158">
        <f t="shared" si="96"/>
        <v>340</v>
      </c>
      <c r="U158" s="23">
        <f t="shared" si="82"/>
        <v>1200</v>
      </c>
      <c r="V158" s="23">
        <f t="shared" si="83"/>
        <v>250</v>
      </c>
    </row>
    <row r="159" spans="1:22" ht="37.5">
      <c r="A159" s="47">
        <v>20</v>
      </c>
      <c r="B159" s="47"/>
      <c r="C159" s="48"/>
      <c r="D159" s="49" t="s">
        <v>192</v>
      </c>
      <c r="E159">
        <v>0</v>
      </c>
      <c r="F159">
        <v>0</v>
      </c>
      <c r="G159">
        <v>0</v>
      </c>
      <c r="H159">
        <v>0</v>
      </c>
      <c r="I159" t="e">
        <f>ROUND(#REF!/12*3,2)</f>
        <v>#REF!</v>
      </c>
      <c r="J159" t="e">
        <f>ROUND(#REF!/12*3,2)</f>
        <v>#REF!</v>
      </c>
      <c r="M159" s="21">
        <v>0</v>
      </c>
      <c r="N159" s="21">
        <v>0</v>
      </c>
      <c r="O159" s="21"/>
      <c r="P159" s="21"/>
      <c r="S159">
        <f t="shared" si="96"/>
        <v>0</v>
      </c>
      <c r="T159">
        <f t="shared" si="96"/>
        <v>0</v>
      </c>
      <c r="U159" s="23">
        <f t="shared" si="82"/>
        <v>0</v>
      </c>
      <c r="V159" s="23">
        <f t="shared" si="83"/>
        <v>0</v>
      </c>
    </row>
    <row r="160" spans="1:22" ht="18.75">
      <c r="A160" s="50"/>
      <c r="B160" s="50" t="s">
        <v>193</v>
      </c>
      <c r="C160" s="51" t="s">
        <v>92</v>
      </c>
      <c r="D160" s="43" t="s">
        <v>191</v>
      </c>
      <c r="E160" s="1">
        <f t="shared" ref="E160:R160" si="97">+E159+E158</f>
        <v>1195</v>
      </c>
      <c r="F160" s="1">
        <f t="shared" si="97"/>
        <v>333.5</v>
      </c>
      <c r="G160" s="1">
        <f t="shared" si="97"/>
        <v>100</v>
      </c>
      <c r="H160" s="1">
        <f t="shared" si="97"/>
        <v>28</v>
      </c>
      <c r="I160" s="1" t="e">
        <f t="shared" si="97"/>
        <v>#REF!</v>
      </c>
      <c r="J160" s="13" t="e">
        <f t="shared" si="97"/>
        <v>#REF!</v>
      </c>
      <c r="K160" s="1">
        <f t="shared" si="97"/>
        <v>0</v>
      </c>
      <c r="L160" s="1">
        <f t="shared" si="97"/>
        <v>0</v>
      </c>
      <c r="M160" s="1">
        <f t="shared" si="97"/>
        <v>300</v>
      </c>
      <c r="N160" s="1">
        <f t="shared" si="97"/>
        <v>85</v>
      </c>
      <c r="O160" s="1">
        <f t="shared" si="97"/>
        <v>0</v>
      </c>
      <c r="P160" s="1">
        <f t="shared" si="97"/>
        <v>50</v>
      </c>
      <c r="Q160" s="1">
        <f t="shared" si="97"/>
        <v>1200</v>
      </c>
      <c r="R160" s="1">
        <f t="shared" si="97"/>
        <v>250</v>
      </c>
      <c r="S160" s="1">
        <f t="shared" ref="S160:V160" si="98">+S159+S158</f>
        <v>1200</v>
      </c>
      <c r="T160" s="13">
        <f t="shared" si="98"/>
        <v>340</v>
      </c>
      <c r="U160" s="34">
        <f t="shared" si="98"/>
        <v>1200</v>
      </c>
      <c r="V160" s="34">
        <f t="shared" si="98"/>
        <v>250</v>
      </c>
    </row>
    <row r="161" spans="1:22" ht="18.75">
      <c r="A161" s="50">
        <v>21</v>
      </c>
      <c r="B161" s="50" t="s">
        <v>194</v>
      </c>
      <c r="C161" s="51" t="s">
        <v>92</v>
      </c>
      <c r="D161" s="43" t="s">
        <v>195</v>
      </c>
      <c r="E161">
        <v>9959.59</v>
      </c>
      <c r="F161">
        <v>11431.32</v>
      </c>
      <c r="G161">
        <v>830</v>
      </c>
      <c r="H161">
        <v>953</v>
      </c>
      <c r="I161" t="e">
        <f>ROUND(#REF!/12*3,2)</f>
        <v>#REF!</v>
      </c>
      <c r="J161" t="e">
        <f>ROUND(#REF!/12*3,2)</f>
        <v>#REF!</v>
      </c>
      <c r="M161" s="21">
        <v>2200</v>
      </c>
      <c r="N161" s="24">
        <f>3000-400</f>
        <v>2600</v>
      </c>
      <c r="O161" s="24"/>
      <c r="P161" s="24"/>
      <c r="Q161">
        <v>9959.5</v>
      </c>
      <c r="R161">
        <v>11230</v>
      </c>
      <c r="S161">
        <f t="shared" ref="S161:T163" si="99">ROUND(M161/3*12,2)</f>
        <v>8800</v>
      </c>
      <c r="T161">
        <f t="shared" si="99"/>
        <v>10400</v>
      </c>
      <c r="U161" s="23">
        <f t="shared" si="82"/>
        <v>8800</v>
      </c>
      <c r="V161" s="23">
        <f t="shared" si="83"/>
        <v>10400</v>
      </c>
    </row>
    <row r="162" spans="1:22" ht="18.75">
      <c r="A162" s="47">
        <v>22</v>
      </c>
      <c r="B162" s="47"/>
      <c r="C162" s="48"/>
      <c r="D162" s="49" t="s">
        <v>196</v>
      </c>
      <c r="E162">
        <v>1681.5</v>
      </c>
      <c r="F162">
        <v>29.75</v>
      </c>
      <c r="G162">
        <v>140</v>
      </c>
      <c r="H162">
        <v>2</v>
      </c>
      <c r="I162" t="e">
        <f>ROUND(#REF!/12*3,2)</f>
        <v>#REF!</v>
      </c>
      <c r="J162" t="e">
        <f>ROUND(#REF!/12*3,2)</f>
        <v>#REF!</v>
      </c>
      <c r="M162" s="21">
        <v>420</v>
      </c>
      <c r="N162" s="21">
        <v>3</v>
      </c>
      <c r="O162" s="21"/>
      <c r="P162" s="21"/>
      <c r="Q162">
        <v>1750</v>
      </c>
      <c r="R162">
        <v>30</v>
      </c>
      <c r="S162">
        <f t="shared" si="99"/>
        <v>1680</v>
      </c>
      <c r="T162">
        <f t="shared" si="99"/>
        <v>12</v>
      </c>
      <c r="U162" s="23">
        <f t="shared" si="82"/>
        <v>1680</v>
      </c>
      <c r="V162" s="23">
        <f t="shared" si="83"/>
        <v>12</v>
      </c>
    </row>
    <row r="163" spans="1:22" ht="37.5">
      <c r="A163" s="47">
        <v>23</v>
      </c>
      <c r="B163" s="47"/>
      <c r="C163" s="48"/>
      <c r="D163" s="49" t="s">
        <v>197</v>
      </c>
      <c r="E163">
        <v>0</v>
      </c>
      <c r="F163">
        <v>0</v>
      </c>
      <c r="G163">
        <v>0</v>
      </c>
      <c r="H163">
        <v>0</v>
      </c>
      <c r="I163" t="e">
        <f>ROUND(#REF!/12*3,2)</f>
        <v>#REF!</v>
      </c>
      <c r="J163" t="e">
        <f>ROUND(#REF!/12*3,2)</f>
        <v>#REF!</v>
      </c>
      <c r="M163" s="21">
        <v>0</v>
      </c>
      <c r="N163" s="21">
        <v>0</v>
      </c>
      <c r="O163" s="21"/>
      <c r="P163" s="21"/>
      <c r="S163">
        <f t="shared" si="99"/>
        <v>0</v>
      </c>
      <c r="T163">
        <f t="shared" si="99"/>
        <v>0</v>
      </c>
      <c r="U163" s="23">
        <f t="shared" si="82"/>
        <v>0</v>
      </c>
      <c r="V163" s="23">
        <f t="shared" si="83"/>
        <v>0</v>
      </c>
    </row>
    <row r="164" spans="1:22" ht="18.75">
      <c r="A164" s="50"/>
      <c r="B164" s="50" t="s">
        <v>198</v>
      </c>
      <c r="C164" s="51" t="s">
        <v>77</v>
      </c>
      <c r="D164" s="43" t="s">
        <v>196</v>
      </c>
      <c r="E164" s="1">
        <f t="shared" ref="E164:R164" si="100">+E162+E163</f>
        <v>1681.5</v>
      </c>
      <c r="F164" s="1">
        <f t="shared" si="100"/>
        <v>29.75</v>
      </c>
      <c r="G164" s="1">
        <f t="shared" si="100"/>
        <v>140</v>
      </c>
      <c r="H164" s="1">
        <f t="shared" si="100"/>
        <v>2</v>
      </c>
      <c r="I164" s="1" t="e">
        <f t="shared" si="100"/>
        <v>#REF!</v>
      </c>
      <c r="J164" s="13" t="e">
        <f t="shared" si="100"/>
        <v>#REF!</v>
      </c>
      <c r="K164" s="1">
        <f t="shared" si="100"/>
        <v>0</v>
      </c>
      <c r="L164" s="1">
        <f t="shared" si="100"/>
        <v>0</v>
      </c>
      <c r="M164" s="1">
        <f t="shared" si="100"/>
        <v>420</v>
      </c>
      <c r="N164" s="1">
        <f t="shared" si="100"/>
        <v>3</v>
      </c>
      <c r="O164" s="1">
        <f t="shared" si="100"/>
        <v>0</v>
      </c>
      <c r="P164" s="1">
        <f t="shared" si="100"/>
        <v>0</v>
      </c>
      <c r="Q164" s="1">
        <f t="shared" si="100"/>
        <v>1750</v>
      </c>
      <c r="R164" s="1">
        <f t="shared" si="100"/>
        <v>30</v>
      </c>
      <c r="S164" s="1">
        <f t="shared" ref="S164:V164" si="101">+S162+S163</f>
        <v>1680</v>
      </c>
      <c r="T164" s="13">
        <f t="shared" si="101"/>
        <v>12</v>
      </c>
      <c r="U164" s="34">
        <f t="shared" si="101"/>
        <v>1680</v>
      </c>
      <c r="V164" s="34">
        <f t="shared" si="101"/>
        <v>12</v>
      </c>
    </row>
    <row r="165" spans="1:22" ht="18.75">
      <c r="A165" s="50">
        <v>24</v>
      </c>
      <c r="B165" s="50" t="s">
        <v>199</v>
      </c>
      <c r="C165" s="51" t="s">
        <v>66</v>
      </c>
      <c r="D165" s="43" t="s">
        <v>200</v>
      </c>
      <c r="E165">
        <v>944.92</v>
      </c>
      <c r="F165">
        <v>180.37</v>
      </c>
      <c r="G165">
        <v>79</v>
      </c>
      <c r="H165">
        <v>15</v>
      </c>
      <c r="I165" t="e">
        <f>ROUND(#REF!/12*3,2)</f>
        <v>#REF!</v>
      </c>
      <c r="J165" t="e">
        <f>ROUND(#REF!/12*3,2)</f>
        <v>#REF!</v>
      </c>
      <c r="M165" s="21">
        <v>240</v>
      </c>
      <c r="N165" s="24">
        <f>48-5</f>
        <v>43</v>
      </c>
      <c r="O165" s="24"/>
      <c r="P165" s="24"/>
      <c r="Q165">
        <v>800</v>
      </c>
      <c r="R165">
        <v>100</v>
      </c>
      <c r="S165">
        <f t="shared" ref="S165:T167" si="102">ROUND(M165/3*12,2)</f>
        <v>960</v>
      </c>
      <c r="T165">
        <f t="shared" si="102"/>
        <v>172</v>
      </c>
      <c r="U165" s="23">
        <f t="shared" si="82"/>
        <v>800</v>
      </c>
      <c r="V165" s="23">
        <f t="shared" si="83"/>
        <v>100</v>
      </c>
    </row>
    <row r="166" spans="1:22" ht="18.75">
      <c r="A166" s="47">
        <v>25</v>
      </c>
      <c r="B166" s="47"/>
      <c r="C166" s="48"/>
      <c r="D166" s="43" t="s">
        <v>201</v>
      </c>
      <c r="E166">
        <v>1321.87</v>
      </c>
      <c r="F166">
        <v>67.87</v>
      </c>
      <c r="G166">
        <v>110</v>
      </c>
      <c r="H166">
        <v>6</v>
      </c>
      <c r="I166" t="e">
        <f>ROUND(#REF!/12*3,2)</f>
        <v>#REF!</v>
      </c>
      <c r="J166" t="e">
        <f>ROUND(#REF!/12*3,2)</f>
        <v>#REF!</v>
      </c>
      <c r="M166" s="21">
        <v>311</v>
      </c>
      <c r="N166" s="21">
        <v>15</v>
      </c>
      <c r="O166" s="21"/>
      <c r="P166" s="21"/>
      <c r="Q166">
        <v>1220</v>
      </c>
      <c r="R166">
        <v>65</v>
      </c>
      <c r="S166">
        <f t="shared" si="102"/>
        <v>1244</v>
      </c>
      <c r="T166">
        <f t="shared" si="102"/>
        <v>60</v>
      </c>
      <c r="U166" s="23">
        <f t="shared" si="82"/>
        <v>1220</v>
      </c>
      <c r="V166" s="23">
        <f t="shared" si="83"/>
        <v>60</v>
      </c>
    </row>
    <row r="167" spans="1:22" ht="56.25">
      <c r="A167" s="50">
        <v>26</v>
      </c>
      <c r="B167" s="50"/>
      <c r="C167" s="51"/>
      <c r="D167" s="43" t="s">
        <v>202</v>
      </c>
      <c r="E167">
        <v>0</v>
      </c>
      <c r="F167">
        <v>0</v>
      </c>
      <c r="G167">
        <v>0</v>
      </c>
      <c r="H167">
        <v>0</v>
      </c>
      <c r="I167" t="e">
        <f>ROUND(#REF!/12*3,2)</f>
        <v>#REF!</v>
      </c>
      <c r="J167" t="e">
        <f>ROUND(#REF!/12*3,2)</f>
        <v>#REF!</v>
      </c>
      <c r="M167" s="21">
        <v>0</v>
      </c>
      <c r="N167" s="21">
        <v>0</v>
      </c>
      <c r="O167" s="21"/>
      <c r="P167" s="21"/>
      <c r="S167">
        <f t="shared" si="102"/>
        <v>0</v>
      </c>
      <c r="T167">
        <f t="shared" si="102"/>
        <v>0</v>
      </c>
      <c r="U167" s="23">
        <f t="shared" si="82"/>
        <v>0</v>
      </c>
      <c r="V167" s="23">
        <f t="shared" si="83"/>
        <v>0</v>
      </c>
    </row>
    <row r="168" spans="1:22" ht="18.75">
      <c r="A168" s="50"/>
      <c r="B168" s="50" t="s">
        <v>203</v>
      </c>
      <c r="C168" s="51" t="s">
        <v>92</v>
      </c>
      <c r="D168" s="43" t="s">
        <v>201</v>
      </c>
      <c r="E168" s="1">
        <f t="shared" ref="E168:R168" si="103">+E166+E167</f>
        <v>1321.87</v>
      </c>
      <c r="F168" s="1">
        <f t="shared" si="103"/>
        <v>67.87</v>
      </c>
      <c r="G168" s="1">
        <f t="shared" si="103"/>
        <v>110</v>
      </c>
      <c r="H168" s="1">
        <f t="shared" si="103"/>
        <v>6</v>
      </c>
      <c r="I168" s="1" t="e">
        <f t="shared" si="103"/>
        <v>#REF!</v>
      </c>
      <c r="J168" s="13" t="e">
        <f t="shared" si="103"/>
        <v>#REF!</v>
      </c>
      <c r="K168" s="1">
        <f t="shared" si="103"/>
        <v>0</v>
      </c>
      <c r="L168" s="1">
        <f t="shared" si="103"/>
        <v>0</v>
      </c>
      <c r="M168" s="1">
        <f t="shared" si="103"/>
        <v>311</v>
      </c>
      <c r="N168" s="1">
        <f t="shared" si="103"/>
        <v>15</v>
      </c>
      <c r="O168" s="1">
        <f t="shared" si="103"/>
        <v>0</v>
      </c>
      <c r="P168" s="1">
        <f t="shared" si="103"/>
        <v>0</v>
      </c>
      <c r="Q168" s="1">
        <f t="shared" si="103"/>
        <v>1220</v>
      </c>
      <c r="R168" s="1">
        <f t="shared" si="103"/>
        <v>65</v>
      </c>
      <c r="S168" s="1">
        <f t="shared" ref="S168:V168" si="104">+S166+S167</f>
        <v>1244</v>
      </c>
      <c r="T168" s="13">
        <f t="shared" si="104"/>
        <v>60</v>
      </c>
      <c r="U168" s="34">
        <f t="shared" si="104"/>
        <v>1220</v>
      </c>
      <c r="V168" s="34">
        <f t="shared" si="104"/>
        <v>60</v>
      </c>
    </row>
    <row r="169" spans="1:22" ht="18.75">
      <c r="A169" s="50">
        <v>27</v>
      </c>
      <c r="B169" s="50" t="s">
        <v>204</v>
      </c>
      <c r="C169" s="51" t="s">
        <v>69</v>
      </c>
      <c r="D169" s="43" t="s">
        <v>205</v>
      </c>
      <c r="E169">
        <v>843.55</v>
      </c>
      <c r="F169">
        <v>8.34</v>
      </c>
      <c r="G169">
        <v>70</v>
      </c>
      <c r="H169">
        <v>1</v>
      </c>
      <c r="I169" t="e">
        <f>ROUND(#REF!/12*3,2)</f>
        <v>#REF!</v>
      </c>
      <c r="J169" t="e">
        <f>ROUND(#REF!/12*3,2)</f>
        <v>#REF!</v>
      </c>
      <c r="M169" s="21">
        <v>212</v>
      </c>
      <c r="N169" s="21">
        <v>1</v>
      </c>
      <c r="O169" s="21"/>
      <c r="P169" s="21"/>
      <c r="Q169">
        <v>720</v>
      </c>
      <c r="R169">
        <v>30</v>
      </c>
      <c r="S169">
        <f t="shared" ref="S169:T173" si="105">ROUND(M169/3*12,2)</f>
        <v>848</v>
      </c>
      <c r="T169">
        <f t="shared" si="105"/>
        <v>4</v>
      </c>
      <c r="U169" s="23">
        <f t="shared" si="82"/>
        <v>720</v>
      </c>
      <c r="V169" s="23">
        <f t="shared" si="83"/>
        <v>4</v>
      </c>
    </row>
    <row r="170" spans="1:22" ht="18.75">
      <c r="A170" s="50">
        <v>28</v>
      </c>
      <c r="B170" s="50" t="s">
        <v>206</v>
      </c>
      <c r="C170" s="51" t="s">
        <v>207</v>
      </c>
      <c r="D170" s="43" t="s">
        <v>208</v>
      </c>
      <c r="E170">
        <v>443.85</v>
      </c>
      <c r="F170">
        <v>0.94</v>
      </c>
      <c r="G170">
        <v>37</v>
      </c>
      <c r="H170">
        <v>0</v>
      </c>
      <c r="I170" t="e">
        <f>ROUND(#REF!/12*3,2)</f>
        <v>#REF!</v>
      </c>
      <c r="J170" t="e">
        <f>ROUND(#REF!/12*3,2)</f>
        <v>#REF!</v>
      </c>
      <c r="M170" s="21">
        <v>100.47</v>
      </c>
      <c r="N170" s="24">
        <f>18.49-10</f>
        <v>8.4899999999999984</v>
      </c>
      <c r="O170" s="24"/>
      <c r="P170" s="24"/>
      <c r="Q170">
        <v>490</v>
      </c>
      <c r="R170">
        <v>8.94</v>
      </c>
      <c r="S170">
        <f t="shared" si="105"/>
        <v>401.88</v>
      </c>
      <c r="T170">
        <f t="shared" si="105"/>
        <v>33.96</v>
      </c>
      <c r="U170" s="23">
        <f t="shared" si="82"/>
        <v>401.88</v>
      </c>
      <c r="V170" s="23">
        <f t="shared" si="83"/>
        <v>8.94</v>
      </c>
    </row>
    <row r="171" spans="1:22" ht="18.75">
      <c r="A171" s="50">
        <v>29</v>
      </c>
      <c r="B171" s="50"/>
      <c r="C171" s="51"/>
      <c r="D171" s="43" t="s">
        <v>209</v>
      </c>
      <c r="E171">
        <v>725.23</v>
      </c>
      <c r="F171">
        <v>0</v>
      </c>
      <c r="G171">
        <v>60</v>
      </c>
      <c r="H171">
        <v>0</v>
      </c>
      <c r="I171" t="e">
        <f>ROUND(#REF!/12*3,2)</f>
        <v>#REF!</v>
      </c>
      <c r="J171" t="e">
        <f>ROUND(#REF!/12*3,2)</f>
        <v>#REF!</v>
      </c>
      <c r="M171" s="21">
        <v>231</v>
      </c>
      <c r="N171" s="21">
        <v>30</v>
      </c>
      <c r="O171" s="21"/>
      <c r="P171" s="21"/>
      <c r="Q171">
        <v>650</v>
      </c>
      <c r="R171" s="31"/>
      <c r="S171">
        <f t="shared" si="105"/>
        <v>924</v>
      </c>
      <c r="T171">
        <f t="shared" si="105"/>
        <v>120</v>
      </c>
      <c r="U171" s="23">
        <f t="shared" si="82"/>
        <v>650</v>
      </c>
      <c r="V171" s="23">
        <f>IF(R171&lt;T171,R171,T171)+30</f>
        <v>30</v>
      </c>
    </row>
    <row r="172" spans="1:22" ht="18.75">
      <c r="A172" s="47">
        <v>30</v>
      </c>
      <c r="B172" s="47"/>
      <c r="C172" s="48"/>
      <c r="D172" s="49" t="s">
        <v>210</v>
      </c>
      <c r="E172">
        <v>112.54</v>
      </c>
      <c r="F172">
        <v>0</v>
      </c>
      <c r="G172">
        <v>9</v>
      </c>
      <c r="H172">
        <v>0</v>
      </c>
      <c r="I172" t="e">
        <f>ROUND(#REF!/12*3,2)</f>
        <v>#REF!</v>
      </c>
      <c r="J172" t="e">
        <f>ROUND(#REF!/12*3,2)</f>
        <v>#REF!</v>
      </c>
      <c r="M172" s="21">
        <v>30</v>
      </c>
      <c r="N172" s="21">
        <v>0</v>
      </c>
      <c r="O172" s="21"/>
      <c r="P172" s="21"/>
      <c r="Q172">
        <v>115</v>
      </c>
      <c r="S172">
        <f t="shared" si="105"/>
        <v>120</v>
      </c>
      <c r="T172">
        <f t="shared" si="105"/>
        <v>0</v>
      </c>
      <c r="U172" s="23">
        <f t="shared" si="82"/>
        <v>115</v>
      </c>
      <c r="V172" s="23">
        <f t="shared" si="83"/>
        <v>0</v>
      </c>
    </row>
    <row r="173" spans="1:22" ht="18.75">
      <c r="A173" s="47">
        <v>31</v>
      </c>
      <c r="B173" s="47"/>
      <c r="C173" s="48"/>
      <c r="D173" s="49" t="s">
        <v>211</v>
      </c>
      <c r="E173">
        <v>0</v>
      </c>
      <c r="F173">
        <v>0</v>
      </c>
      <c r="G173">
        <v>0</v>
      </c>
      <c r="H173">
        <v>0</v>
      </c>
      <c r="I173" t="e">
        <f>ROUND(#REF!/12*3,2)</f>
        <v>#REF!</v>
      </c>
      <c r="J173" t="e">
        <f>ROUND(#REF!/12*3,2)</f>
        <v>#REF!</v>
      </c>
      <c r="M173" s="21">
        <v>0</v>
      </c>
      <c r="N173" s="21">
        <v>0</v>
      </c>
      <c r="O173" s="21"/>
      <c r="P173" s="21"/>
      <c r="S173">
        <f t="shared" si="105"/>
        <v>0</v>
      </c>
      <c r="T173">
        <f t="shared" si="105"/>
        <v>0</v>
      </c>
      <c r="U173" s="23">
        <f t="shared" si="82"/>
        <v>0</v>
      </c>
      <c r="V173" s="23">
        <f t="shared" si="83"/>
        <v>0</v>
      </c>
    </row>
    <row r="174" spans="1:22" ht="18.75">
      <c r="A174" s="50"/>
      <c r="B174" s="50" t="s">
        <v>212</v>
      </c>
      <c r="C174" s="51" t="s">
        <v>213</v>
      </c>
      <c r="D174" s="43" t="s">
        <v>209</v>
      </c>
      <c r="E174" s="1">
        <f t="shared" ref="E174:Q174" si="106">+E171+E172+E173</f>
        <v>837.77</v>
      </c>
      <c r="F174" s="1">
        <f t="shared" si="106"/>
        <v>0</v>
      </c>
      <c r="G174" s="1">
        <f t="shared" si="106"/>
        <v>69</v>
      </c>
      <c r="H174" s="1">
        <f t="shared" si="106"/>
        <v>0</v>
      </c>
      <c r="I174" s="1" t="e">
        <f t="shared" si="106"/>
        <v>#REF!</v>
      </c>
      <c r="J174" s="13" t="e">
        <f t="shared" si="106"/>
        <v>#REF!</v>
      </c>
      <c r="K174" s="1">
        <f t="shared" si="106"/>
        <v>0</v>
      </c>
      <c r="L174" s="1">
        <f t="shared" si="106"/>
        <v>0</v>
      </c>
      <c r="M174" s="1">
        <f t="shared" si="106"/>
        <v>261</v>
      </c>
      <c r="N174" s="1">
        <f t="shared" si="106"/>
        <v>30</v>
      </c>
      <c r="O174" s="1">
        <f t="shared" si="106"/>
        <v>0</v>
      </c>
      <c r="P174" s="1">
        <f t="shared" si="106"/>
        <v>0</v>
      </c>
      <c r="Q174" s="1">
        <f t="shared" si="106"/>
        <v>765</v>
      </c>
      <c r="R174" s="1">
        <f t="shared" ref="R174:V174" si="107">+R171+R172+R173</f>
        <v>0</v>
      </c>
      <c r="S174" s="1">
        <f t="shared" si="107"/>
        <v>1044</v>
      </c>
      <c r="T174" s="13">
        <f t="shared" si="107"/>
        <v>120</v>
      </c>
      <c r="U174" s="34">
        <f t="shared" si="107"/>
        <v>765</v>
      </c>
      <c r="V174" s="34">
        <f t="shared" si="107"/>
        <v>30</v>
      </c>
    </row>
    <row r="175" spans="1:22" ht="18.75">
      <c r="A175" s="50">
        <v>32</v>
      </c>
      <c r="B175" s="50" t="s">
        <v>214</v>
      </c>
      <c r="C175" s="51" t="s">
        <v>215</v>
      </c>
      <c r="D175" s="43" t="s">
        <v>216</v>
      </c>
      <c r="E175">
        <v>505.31</v>
      </c>
      <c r="F175">
        <v>82.79</v>
      </c>
      <c r="G175">
        <v>42</v>
      </c>
      <c r="H175">
        <v>0</v>
      </c>
      <c r="I175" t="e">
        <f>ROUND(#REF!/12*3,2)</f>
        <v>#REF!</v>
      </c>
      <c r="J175" t="e">
        <f>ROUND(#REF!/12*3,2)</f>
        <v>#REF!</v>
      </c>
      <c r="M175" s="21">
        <v>122</v>
      </c>
      <c r="N175" s="21">
        <v>19</v>
      </c>
      <c r="O175" s="21"/>
      <c r="P175" s="21"/>
      <c r="Q175">
        <v>460</v>
      </c>
      <c r="R175" s="32"/>
      <c r="S175">
        <f t="shared" ref="S175:T178" si="108">ROUND(M175/3*12,2)</f>
        <v>488</v>
      </c>
      <c r="T175">
        <f t="shared" si="108"/>
        <v>76</v>
      </c>
      <c r="U175" s="23">
        <f t="shared" si="82"/>
        <v>460</v>
      </c>
      <c r="V175" s="23">
        <f>IF(R175&lt;T175,R175,T175)+19</f>
        <v>19</v>
      </c>
    </row>
    <row r="176" spans="1:22" ht="18.75">
      <c r="A176" s="50">
        <v>33</v>
      </c>
      <c r="B176" s="50" t="s">
        <v>217</v>
      </c>
      <c r="C176" s="51" t="s">
        <v>77</v>
      </c>
      <c r="D176" s="43" t="s">
        <v>218</v>
      </c>
      <c r="E176">
        <v>813.07</v>
      </c>
      <c r="F176">
        <v>40.25</v>
      </c>
      <c r="G176">
        <v>68</v>
      </c>
      <c r="H176">
        <v>0</v>
      </c>
      <c r="I176" t="e">
        <f>ROUND(#REF!/12*3,2)</f>
        <v>#REF!</v>
      </c>
      <c r="J176" t="e">
        <f>ROUND(#REF!/12*3,2)</f>
        <v>#REF!</v>
      </c>
      <c r="M176" s="21">
        <v>240</v>
      </c>
      <c r="N176" s="21">
        <v>2</v>
      </c>
      <c r="O176" s="21"/>
      <c r="P176" s="21"/>
      <c r="Q176">
        <v>750</v>
      </c>
      <c r="R176" s="32">
        <v>0</v>
      </c>
      <c r="S176">
        <f t="shared" si="108"/>
        <v>960</v>
      </c>
      <c r="T176">
        <f t="shared" si="108"/>
        <v>8</v>
      </c>
      <c r="U176" s="23">
        <f t="shared" si="82"/>
        <v>750</v>
      </c>
      <c r="V176" s="23">
        <f>IF(R176&lt;T176,R176,T176)+75</f>
        <v>75</v>
      </c>
    </row>
    <row r="177" spans="1:22" ht="18.75">
      <c r="A177" s="47">
        <v>34</v>
      </c>
      <c r="B177" s="47"/>
      <c r="C177" s="48"/>
      <c r="D177" s="49" t="s">
        <v>219</v>
      </c>
      <c r="E177">
        <v>969.43</v>
      </c>
      <c r="F177">
        <v>30.94</v>
      </c>
      <c r="G177">
        <v>81</v>
      </c>
      <c r="H177">
        <v>3</v>
      </c>
      <c r="I177" t="e">
        <f>ROUND(#REF!/12*3,2)</f>
        <v>#REF!</v>
      </c>
      <c r="J177" t="e">
        <f>ROUND(#REF!/12*3,2)</f>
        <v>#REF!</v>
      </c>
      <c r="M177" s="21">
        <v>236</v>
      </c>
      <c r="N177" s="24">
        <f>54-10-10</f>
        <v>34</v>
      </c>
      <c r="O177" s="24"/>
      <c r="P177" s="24">
        <v>20</v>
      </c>
      <c r="Q177">
        <v>950</v>
      </c>
      <c r="R177">
        <f>35+22</f>
        <v>57</v>
      </c>
      <c r="S177">
        <f t="shared" si="108"/>
        <v>944</v>
      </c>
      <c r="T177">
        <f t="shared" si="108"/>
        <v>136</v>
      </c>
      <c r="U177" s="23">
        <f t="shared" si="82"/>
        <v>944</v>
      </c>
      <c r="V177" s="23">
        <f t="shared" si="83"/>
        <v>57</v>
      </c>
    </row>
    <row r="178" spans="1:22" ht="18.75">
      <c r="A178" s="47">
        <v>35</v>
      </c>
      <c r="B178" s="47"/>
      <c r="C178" s="48"/>
      <c r="D178" s="49" t="s">
        <v>220</v>
      </c>
      <c r="E178">
        <v>140.13999999999999</v>
      </c>
      <c r="F178">
        <v>0</v>
      </c>
      <c r="G178">
        <v>12</v>
      </c>
      <c r="H178">
        <v>0</v>
      </c>
      <c r="I178" t="e">
        <f>ROUND(#REF!/12*3,2)</f>
        <v>#REF!</v>
      </c>
      <c r="J178" t="e">
        <f>ROUND(#REF!/12*3,2)</f>
        <v>#REF!</v>
      </c>
      <c r="M178" s="21">
        <v>28</v>
      </c>
      <c r="N178" s="21">
        <v>0</v>
      </c>
      <c r="O178" s="21"/>
      <c r="P178" s="21"/>
      <c r="Q178">
        <v>117.3</v>
      </c>
      <c r="S178">
        <f t="shared" si="108"/>
        <v>112</v>
      </c>
      <c r="T178">
        <f t="shared" si="108"/>
        <v>0</v>
      </c>
      <c r="U178" s="23">
        <f t="shared" si="82"/>
        <v>112</v>
      </c>
      <c r="V178" s="23">
        <f t="shared" si="83"/>
        <v>0</v>
      </c>
    </row>
    <row r="179" spans="1:22" ht="18.75">
      <c r="A179" s="50"/>
      <c r="B179" s="50" t="s">
        <v>221</v>
      </c>
      <c r="C179" s="51" t="s">
        <v>36</v>
      </c>
      <c r="D179" s="43" t="s">
        <v>219</v>
      </c>
      <c r="E179" s="1">
        <f t="shared" ref="E179:Q179" si="109">+E177+E178</f>
        <v>1109.57</v>
      </c>
      <c r="F179" s="1">
        <f t="shared" si="109"/>
        <v>30.94</v>
      </c>
      <c r="G179" s="1">
        <f t="shared" si="109"/>
        <v>93</v>
      </c>
      <c r="H179" s="1">
        <f t="shared" si="109"/>
        <v>3</v>
      </c>
      <c r="I179" s="1" t="e">
        <f t="shared" si="109"/>
        <v>#REF!</v>
      </c>
      <c r="J179" s="13" t="e">
        <f t="shared" si="109"/>
        <v>#REF!</v>
      </c>
      <c r="K179" s="1">
        <f t="shared" si="109"/>
        <v>0</v>
      </c>
      <c r="L179" s="1">
        <f t="shared" si="109"/>
        <v>0</v>
      </c>
      <c r="M179" s="1">
        <f t="shared" si="109"/>
        <v>264</v>
      </c>
      <c r="N179" s="1">
        <f t="shared" si="109"/>
        <v>34</v>
      </c>
      <c r="O179" s="1">
        <f t="shared" si="109"/>
        <v>0</v>
      </c>
      <c r="P179" s="1">
        <f t="shared" si="109"/>
        <v>20</v>
      </c>
      <c r="Q179" s="1">
        <f t="shared" si="109"/>
        <v>1067.3</v>
      </c>
      <c r="R179" s="1">
        <f t="shared" ref="R179:V179" si="110">+R177+R178</f>
        <v>57</v>
      </c>
      <c r="S179" s="1">
        <f t="shared" si="110"/>
        <v>1056</v>
      </c>
      <c r="T179" s="13">
        <f t="shared" si="110"/>
        <v>136</v>
      </c>
      <c r="U179" s="34">
        <f t="shared" si="110"/>
        <v>1056</v>
      </c>
      <c r="V179" s="34">
        <f t="shared" si="110"/>
        <v>57</v>
      </c>
    </row>
    <row r="180" spans="1:22" ht="37.5">
      <c r="A180" s="50">
        <v>36</v>
      </c>
      <c r="B180" s="50" t="s">
        <v>222</v>
      </c>
      <c r="C180" s="51" t="s">
        <v>223</v>
      </c>
      <c r="D180" s="43" t="s">
        <v>224</v>
      </c>
      <c r="E180">
        <v>467.12</v>
      </c>
      <c r="F180">
        <v>19.55</v>
      </c>
      <c r="G180">
        <v>39</v>
      </c>
      <c r="H180">
        <v>2</v>
      </c>
      <c r="I180" t="e">
        <f>ROUND(#REF!/12*3,2)</f>
        <v>#REF!</v>
      </c>
      <c r="J180" t="e">
        <f>ROUND(#REF!/12*3,2)</f>
        <v>#REF!</v>
      </c>
      <c r="M180" s="24">
        <f>150-20</f>
        <v>130</v>
      </c>
      <c r="N180" s="21">
        <v>1.5</v>
      </c>
      <c r="O180" s="21"/>
      <c r="P180" s="21"/>
      <c r="Q180">
        <v>450</v>
      </c>
      <c r="R180">
        <v>10</v>
      </c>
      <c r="S180">
        <f t="shared" ref="S180:T183" si="111">ROUND(M180/3*12,2)</f>
        <v>520</v>
      </c>
      <c r="T180">
        <f t="shared" si="111"/>
        <v>6</v>
      </c>
      <c r="U180" s="23">
        <f t="shared" si="82"/>
        <v>450</v>
      </c>
      <c r="V180" s="23">
        <f t="shared" si="83"/>
        <v>6</v>
      </c>
    </row>
    <row r="181" spans="1:22" ht="18.75">
      <c r="A181" s="50">
        <v>37</v>
      </c>
      <c r="B181" s="50"/>
      <c r="C181" s="51"/>
      <c r="D181" s="49" t="s">
        <v>225</v>
      </c>
      <c r="E181">
        <v>1756.7</v>
      </c>
      <c r="F181">
        <v>119.89</v>
      </c>
      <c r="G181">
        <v>146</v>
      </c>
      <c r="H181">
        <v>10</v>
      </c>
      <c r="I181" t="e">
        <f>ROUND(#REF!/12*3,2)</f>
        <v>#REF!</v>
      </c>
      <c r="J181" t="e">
        <f>ROUND(#REF!/12*3,2)</f>
        <v>#REF!</v>
      </c>
      <c r="M181" s="21">
        <v>440</v>
      </c>
      <c r="N181" s="21">
        <v>5</v>
      </c>
      <c r="O181" s="21"/>
      <c r="P181" s="21"/>
      <c r="Q181">
        <v>1700</v>
      </c>
      <c r="R181">
        <v>60</v>
      </c>
      <c r="S181">
        <f t="shared" si="111"/>
        <v>1760</v>
      </c>
      <c r="T181">
        <f t="shared" si="111"/>
        <v>20</v>
      </c>
      <c r="U181" s="23">
        <f t="shared" si="82"/>
        <v>1700</v>
      </c>
      <c r="V181" s="23">
        <f t="shared" si="83"/>
        <v>20</v>
      </c>
    </row>
    <row r="182" spans="1:22" ht="37.5">
      <c r="A182" s="47">
        <v>38</v>
      </c>
      <c r="B182" s="47"/>
      <c r="C182" s="48"/>
      <c r="D182" s="49" t="s">
        <v>226</v>
      </c>
      <c r="E182">
        <v>402.49</v>
      </c>
      <c r="F182">
        <v>0</v>
      </c>
      <c r="G182">
        <v>34</v>
      </c>
      <c r="H182">
        <v>0</v>
      </c>
      <c r="I182" t="e">
        <f>ROUND(#REF!/12*3,2)</f>
        <v>#REF!</v>
      </c>
      <c r="J182" t="e">
        <f>ROUND(#REF!/12*3,2)</f>
        <v>#REF!</v>
      </c>
      <c r="M182" s="21">
        <v>106.25</v>
      </c>
      <c r="N182" s="21"/>
      <c r="O182" s="21"/>
      <c r="P182" s="21"/>
      <c r="Q182">
        <v>425</v>
      </c>
      <c r="S182">
        <f t="shared" si="111"/>
        <v>425</v>
      </c>
      <c r="T182">
        <f t="shared" si="111"/>
        <v>0</v>
      </c>
      <c r="U182" s="23">
        <f t="shared" si="82"/>
        <v>425</v>
      </c>
      <c r="V182" s="23">
        <f t="shared" si="83"/>
        <v>0</v>
      </c>
    </row>
    <row r="183" spans="1:22" ht="37.5">
      <c r="A183" s="47">
        <v>39</v>
      </c>
      <c r="B183" s="47"/>
      <c r="C183" s="48"/>
      <c r="D183" s="49" t="s">
        <v>227</v>
      </c>
      <c r="E183">
        <v>0</v>
      </c>
      <c r="F183">
        <v>0</v>
      </c>
      <c r="G183">
        <v>0</v>
      </c>
      <c r="H183">
        <v>0</v>
      </c>
      <c r="I183" t="e">
        <f>ROUND(#REF!/12*3,2)</f>
        <v>#REF!</v>
      </c>
      <c r="J183" t="e">
        <f>ROUND(#REF!/12*3,2)</f>
        <v>#REF!</v>
      </c>
      <c r="M183" s="21">
        <v>0</v>
      </c>
      <c r="N183" s="21">
        <v>0</v>
      </c>
      <c r="O183" s="21"/>
      <c r="P183" s="21"/>
      <c r="S183">
        <f t="shared" si="111"/>
        <v>0</v>
      </c>
      <c r="T183">
        <f t="shared" si="111"/>
        <v>0</v>
      </c>
      <c r="U183" s="23">
        <f t="shared" si="82"/>
        <v>0</v>
      </c>
      <c r="V183" s="23">
        <f t="shared" si="83"/>
        <v>0</v>
      </c>
    </row>
    <row r="184" spans="1:22" ht="18.75">
      <c r="A184" s="50"/>
      <c r="B184" s="50" t="s">
        <v>228</v>
      </c>
      <c r="C184" s="51" t="s">
        <v>69</v>
      </c>
      <c r="D184" s="43" t="s">
        <v>225</v>
      </c>
      <c r="E184" s="1">
        <f t="shared" ref="E184:Q184" si="112">+E181+E182+E183</f>
        <v>2159.19</v>
      </c>
      <c r="F184" s="1">
        <f t="shared" si="112"/>
        <v>119.89</v>
      </c>
      <c r="G184" s="1">
        <f t="shared" si="112"/>
        <v>180</v>
      </c>
      <c r="H184" s="1">
        <f t="shared" si="112"/>
        <v>10</v>
      </c>
      <c r="I184" s="1" t="e">
        <f t="shared" si="112"/>
        <v>#REF!</v>
      </c>
      <c r="J184" s="13" t="e">
        <f t="shared" si="112"/>
        <v>#REF!</v>
      </c>
      <c r="K184" s="1">
        <f t="shared" si="112"/>
        <v>0</v>
      </c>
      <c r="L184" s="1">
        <f t="shared" si="112"/>
        <v>0</v>
      </c>
      <c r="M184" s="1">
        <f t="shared" si="112"/>
        <v>546.25</v>
      </c>
      <c r="N184" s="1">
        <f t="shared" si="112"/>
        <v>5</v>
      </c>
      <c r="O184" s="1">
        <f t="shared" si="112"/>
        <v>0</v>
      </c>
      <c r="P184" s="1">
        <f t="shared" si="112"/>
        <v>0</v>
      </c>
      <c r="Q184" s="1">
        <f t="shared" si="112"/>
        <v>2125</v>
      </c>
      <c r="R184" s="1">
        <f t="shared" ref="R184:V184" si="113">+R181+R182+R183</f>
        <v>60</v>
      </c>
      <c r="S184" s="1">
        <f t="shared" si="113"/>
        <v>2185</v>
      </c>
      <c r="T184" s="13">
        <f t="shared" si="113"/>
        <v>20</v>
      </c>
      <c r="U184" s="34">
        <f t="shared" si="113"/>
        <v>2125</v>
      </c>
      <c r="V184" s="34">
        <f t="shared" si="113"/>
        <v>20</v>
      </c>
    </row>
    <row r="185" spans="1:22" ht="18.75">
      <c r="A185" s="50"/>
      <c r="B185" s="50"/>
      <c r="C185" s="51"/>
      <c r="D185" s="43" t="s">
        <v>229</v>
      </c>
      <c r="E185" s="4">
        <f t="shared" ref="E185:Q185" si="114">+E184+E180+E179+E176+E175+E174+E170+E169+E168+E165+E164+E160+E161+E157+E156+E146+E142+E139+E136</f>
        <v>47424.840000000004</v>
      </c>
      <c r="F185" s="4">
        <f t="shared" si="114"/>
        <v>35143.75</v>
      </c>
      <c r="G185" s="4">
        <f t="shared" si="114"/>
        <v>4174</v>
      </c>
      <c r="H185" s="4">
        <f t="shared" si="114"/>
        <v>3718</v>
      </c>
      <c r="I185" s="4" t="e">
        <f t="shared" si="114"/>
        <v>#REF!</v>
      </c>
      <c r="J185" s="18" t="e">
        <f t="shared" si="114"/>
        <v>#REF!</v>
      </c>
      <c r="K185" s="4">
        <f t="shared" si="114"/>
        <v>0</v>
      </c>
      <c r="L185" s="4">
        <f t="shared" si="114"/>
        <v>0</v>
      </c>
      <c r="M185" s="4">
        <f t="shared" si="114"/>
        <v>11652.220000000001</v>
      </c>
      <c r="N185" s="4">
        <f t="shared" si="114"/>
        <v>8062.29</v>
      </c>
      <c r="O185" s="4">
        <f t="shared" si="114"/>
        <v>0</v>
      </c>
      <c r="P185" s="4">
        <f t="shared" si="114"/>
        <v>70</v>
      </c>
      <c r="Q185" s="4">
        <f t="shared" si="114"/>
        <v>47359.340000000004</v>
      </c>
      <c r="R185" s="4">
        <f t="shared" ref="R185:V185" si="115">+R184+R180+R179+R176+R175+R174+R170+R169+R168+R165+R164+R160+R161+R157+R156+R146+R142+R139+R136</f>
        <v>32585.940000000002</v>
      </c>
      <c r="S185" s="4">
        <f t="shared" si="115"/>
        <v>46608.880000000005</v>
      </c>
      <c r="T185" s="18">
        <f t="shared" si="115"/>
        <v>32249.16</v>
      </c>
      <c r="U185" s="35">
        <f t="shared" si="115"/>
        <v>45249.880000000005</v>
      </c>
      <c r="V185" s="35">
        <f t="shared" si="115"/>
        <v>30908.81</v>
      </c>
    </row>
    <row r="186" spans="1:22" ht="18.75">
      <c r="A186" s="50">
        <v>1</v>
      </c>
      <c r="B186" s="50"/>
      <c r="C186" s="51"/>
      <c r="D186" s="43" t="s">
        <v>230</v>
      </c>
      <c r="E186">
        <v>5542.57</v>
      </c>
      <c r="F186">
        <v>7820.93</v>
      </c>
      <c r="G186">
        <v>462</v>
      </c>
      <c r="H186">
        <v>652</v>
      </c>
      <c r="I186" t="e">
        <f>ROUND(#REF!/12*3,2)</f>
        <v>#REF!</v>
      </c>
      <c r="J186" t="e">
        <f>ROUND(#REF!/12*3,2)</f>
        <v>#REF!</v>
      </c>
      <c r="M186" s="21">
        <v>1300</v>
      </c>
      <c r="N186" s="24">
        <f>1700-200</f>
        <v>1500</v>
      </c>
      <c r="O186" s="24"/>
      <c r="P186" s="24"/>
      <c r="Q186">
        <v>5200</v>
      </c>
      <c r="R186">
        <v>7000</v>
      </c>
      <c r="S186">
        <f>ROUND(M186/3*12,2)</f>
        <v>5200</v>
      </c>
      <c r="T186">
        <f>ROUND(N186/3*12,2)</f>
        <v>6000</v>
      </c>
      <c r="U186" s="23">
        <f t="shared" si="82"/>
        <v>5200</v>
      </c>
      <c r="V186" s="23">
        <f>IF(R186&lt;T186,R186,T186)</f>
        <v>6000</v>
      </c>
    </row>
    <row r="187" spans="1:22" ht="18.75">
      <c r="A187" s="50"/>
      <c r="B187" s="50"/>
      <c r="C187" s="51"/>
      <c r="D187" s="43" t="s">
        <v>230</v>
      </c>
      <c r="E187" s="1">
        <f t="shared" ref="E187:Q187" si="116">E186</f>
        <v>5542.57</v>
      </c>
      <c r="F187" s="1">
        <f t="shared" si="116"/>
        <v>7820.93</v>
      </c>
      <c r="G187" s="1">
        <f t="shared" si="116"/>
        <v>462</v>
      </c>
      <c r="H187" s="1">
        <f t="shared" si="116"/>
        <v>652</v>
      </c>
      <c r="I187" s="1" t="e">
        <f t="shared" si="116"/>
        <v>#REF!</v>
      </c>
      <c r="J187" s="13" t="e">
        <f t="shared" si="116"/>
        <v>#REF!</v>
      </c>
      <c r="K187" s="1">
        <f t="shared" si="116"/>
        <v>0</v>
      </c>
      <c r="L187" s="1">
        <f t="shared" si="116"/>
        <v>0</v>
      </c>
      <c r="M187" s="1">
        <f t="shared" si="116"/>
        <v>1300</v>
      </c>
      <c r="N187" s="1">
        <f t="shared" si="116"/>
        <v>1500</v>
      </c>
      <c r="O187" s="1">
        <f t="shared" si="116"/>
        <v>0</v>
      </c>
      <c r="P187" s="1">
        <f t="shared" si="116"/>
        <v>0</v>
      </c>
      <c r="Q187" s="1">
        <f t="shared" si="116"/>
        <v>5200</v>
      </c>
      <c r="R187" s="1">
        <f t="shared" ref="R187:V187" si="117">R186</f>
        <v>7000</v>
      </c>
      <c r="S187" s="1">
        <f t="shared" si="117"/>
        <v>5200</v>
      </c>
      <c r="T187" s="13">
        <f t="shared" si="117"/>
        <v>6000</v>
      </c>
      <c r="U187" s="34">
        <f t="shared" si="117"/>
        <v>5200</v>
      </c>
      <c r="V187" s="34">
        <f t="shared" si="117"/>
        <v>6000</v>
      </c>
    </row>
    <row r="188" spans="1:22" ht="18.75">
      <c r="A188" s="47">
        <v>2</v>
      </c>
      <c r="B188" s="47"/>
      <c r="C188" s="48"/>
      <c r="D188" s="49" t="s">
        <v>231</v>
      </c>
      <c r="E188">
        <v>2814.9</v>
      </c>
      <c r="F188">
        <v>396.64</v>
      </c>
      <c r="G188">
        <v>235</v>
      </c>
      <c r="H188">
        <v>33</v>
      </c>
      <c r="I188" t="e">
        <f>ROUND(#REF!/12*3,2)</f>
        <v>#REF!</v>
      </c>
      <c r="J188" t="e">
        <f>ROUND(#REF!/12*3,2)</f>
        <v>#REF!</v>
      </c>
      <c r="M188" s="21">
        <v>690</v>
      </c>
      <c r="N188" s="24">
        <f>120-20-5</f>
        <v>95</v>
      </c>
      <c r="O188" s="24"/>
      <c r="P188" s="24"/>
      <c r="Q188">
        <v>2600</v>
      </c>
      <c r="R188">
        <v>460</v>
      </c>
      <c r="S188">
        <f t="shared" ref="S188:T190" si="118">ROUND(M188/3*12,2)</f>
        <v>2760</v>
      </c>
      <c r="T188">
        <f t="shared" si="118"/>
        <v>380</v>
      </c>
      <c r="U188" s="23">
        <f t="shared" si="82"/>
        <v>2600</v>
      </c>
      <c r="V188" s="23">
        <f t="shared" si="83"/>
        <v>380</v>
      </c>
    </row>
    <row r="189" spans="1:22" ht="37.5">
      <c r="A189" s="47">
        <v>3</v>
      </c>
      <c r="B189" s="47"/>
      <c r="C189" s="48"/>
      <c r="D189" s="49" t="s">
        <v>232</v>
      </c>
      <c r="E189">
        <v>2372.96</v>
      </c>
      <c r="F189">
        <v>0</v>
      </c>
      <c r="G189">
        <v>198</v>
      </c>
      <c r="H189">
        <v>0</v>
      </c>
      <c r="I189" t="e">
        <f>ROUND(#REF!/12*3,2)</f>
        <v>#REF!</v>
      </c>
      <c r="J189" t="e">
        <f>ROUND(#REF!/12*3,2)</f>
        <v>#REF!</v>
      </c>
      <c r="M189" s="21">
        <v>590</v>
      </c>
      <c r="N189" s="21"/>
      <c r="O189" s="21"/>
      <c r="P189" s="21"/>
      <c r="Q189">
        <v>2666.36</v>
      </c>
      <c r="S189">
        <f t="shared" si="118"/>
        <v>2360</v>
      </c>
      <c r="T189">
        <f t="shared" si="118"/>
        <v>0</v>
      </c>
      <c r="U189" s="23">
        <f t="shared" si="82"/>
        <v>2360</v>
      </c>
      <c r="V189" s="23">
        <f t="shared" si="83"/>
        <v>0</v>
      </c>
    </row>
    <row r="190" spans="1:22" ht="37.5">
      <c r="A190" s="47">
        <v>4</v>
      </c>
      <c r="B190" s="47"/>
      <c r="C190" s="48"/>
      <c r="D190" s="49" t="s">
        <v>233</v>
      </c>
      <c r="E190">
        <v>625.77</v>
      </c>
      <c r="F190">
        <v>0</v>
      </c>
      <c r="G190">
        <v>52</v>
      </c>
      <c r="H190">
        <v>0</v>
      </c>
      <c r="I190" t="e">
        <f>ROUND(#REF!/12*3,2)</f>
        <v>#REF!</v>
      </c>
      <c r="J190" t="e">
        <f>ROUND(#REF!/12*3,2)</f>
        <v>#REF!</v>
      </c>
      <c r="M190" s="21">
        <v>160</v>
      </c>
      <c r="N190" s="21"/>
      <c r="O190" s="21"/>
      <c r="P190" s="21"/>
      <c r="Q190">
        <v>680.8</v>
      </c>
      <c r="S190">
        <f t="shared" si="118"/>
        <v>640</v>
      </c>
      <c r="T190">
        <f t="shared" si="118"/>
        <v>0</v>
      </c>
      <c r="U190" s="23">
        <f t="shared" si="82"/>
        <v>640</v>
      </c>
      <c r="V190" s="23">
        <f t="shared" si="83"/>
        <v>0</v>
      </c>
    </row>
    <row r="191" spans="1:22" ht="18.75">
      <c r="A191" s="50"/>
      <c r="B191" s="50" t="s">
        <v>234</v>
      </c>
      <c r="C191" s="51" t="s">
        <v>69</v>
      </c>
      <c r="D191" s="43" t="s">
        <v>231</v>
      </c>
      <c r="E191" s="1">
        <f t="shared" ref="E191:Q191" si="119">+E188+E189+E190</f>
        <v>5813.630000000001</v>
      </c>
      <c r="F191" s="1">
        <f t="shared" si="119"/>
        <v>396.64</v>
      </c>
      <c r="G191" s="1">
        <f t="shared" si="119"/>
        <v>485</v>
      </c>
      <c r="H191" s="1">
        <f t="shared" si="119"/>
        <v>33</v>
      </c>
      <c r="I191" s="1" t="e">
        <f t="shared" si="119"/>
        <v>#REF!</v>
      </c>
      <c r="J191" s="13" t="e">
        <f t="shared" si="119"/>
        <v>#REF!</v>
      </c>
      <c r="K191" s="1">
        <f t="shared" si="119"/>
        <v>0</v>
      </c>
      <c r="L191" s="1">
        <f t="shared" si="119"/>
        <v>0</v>
      </c>
      <c r="M191" s="1">
        <f t="shared" si="119"/>
        <v>1440</v>
      </c>
      <c r="N191" s="1">
        <f t="shared" si="119"/>
        <v>95</v>
      </c>
      <c r="O191" s="1">
        <f t="shared" si="119"/>
        <v>0</v>
      </c>
      <c r="P191" s="1">
        <f t="shared" si="119"/>
        <v>0</v>
      </c>
      <c r="Q191" s="1">
        <f t="shared" si="119"/>
        <v>5947.1600000000008</v>
      </c>
      <c r="R191" s="1">
        <f t="shared" ref="R191:V191" si="120">+R188+R189+R190</f>
        <v>460</v>
      </c>
      <c r="S191" s="1">
        <f t="shared" si="120"/>
        <v>5760</v>
      </c>
      <c r="T191" s="13">
        <f t="shared" si="120"/>
        <v>380</v>
      </c>
      <c r="U191" s="34">
        <f t="shared" si="120"/>
        <v>5600</v>
      </c>
      <c r="V191" s="34">
        <f t="shared" si="120"/>
        <v>380</v>
      </c>
    </row>
    <row r="192" spans="1:22" ht="18.75">
      <c r="A192" s="50">
        <v>5</v>
      </c>
      <c r="B192" s="50" t="s">
        <v>235</v>
      </c>
      <c r="C192" s="51" t="s">
        <v>223</v>
      </c>
      <c r="D192" s="43" t="s">
        <v>236</v>
      </c>
      <c r="E192">
        <v>4537.57</v>
      </c>
      <c r="F192">
        <v>1236.25</v>
      </c>
      <c r="G192">
        <v>378</v>
      </c>
      <c r="H192">
        <v>103</v>
      </c>
      <c r="I192" t="e">
        <f>ROUND(#REF!/12*3,2)</f>
        <v>#REF!</v>
      </c>
      <c r="J192" t="e">
        <f>ROUND(#REF!/12*3,2)</f>
        <v>#REF!</v>
      </c>
      <c r="M192" s="21">
        <v>1100</v>
      </c>
      <c r="N192" s="21">
        <v>250</v>
      </c>
      <c r="O192" s="21"/>
      <c r="P192" s="21"/>
      <c r="Q192">
        <v>4500</v>
      </c>
      <c r="R192">
        <v>900</v>
      </c>
      <c r="S192">
        <f t="shared" ref="S192:T194" si="121">ROUND(M192/3*12,2)</f>
        <v>4400</v>
      </c>
      <c r="T192">
        <f t="shared" si="121"/>
        <v>1000</v>
      </c>
      <c r="U192" s="23">
        <f t="shared" si="82"/>
        <v>4400</v>
      </c>
      <c r="V192" s="23">
        <f t="shared" si="83"/>
        <v>900</v>
      </c>
    </row>
    <row r="193" spans="1:22" ht="18.75">
      <c r="A193" s="47">
        <v>6</v>
      </c>
      <c r="B193" s="47"/>
      <c r="C193" s="48"/>
      <c r="D193" s="49" t="s">
        <v>237</v>
      </c>
      <c r="E193">
        <v>2968.28</v>
      </c>
      <c r="F193">
        <v>789.61</v>
      </c>
      <c r="G193">
        <v>247</v>
      </c>
      <c r="H193">
        <v>66</v>
      </c>
      <c r="I193" t="e">
        <f>ROUND(#REF!/12*3,2)</f>
        <v>#REF!</v>
      </c>
      <c r="J193" t="e">
        <f>ROUND(#REF!/12*3,2)</f>
        <v>#REF!</v>
      </c>
      <c r="M193" s="21">
        <v>737</v>
      </c>
      <c r="N193" s="21">
        <v>50</v>
      </c>
      <c r="O193" s="21"/>
      <c r="P193" s="21"/>
      <c r="Q193">
        <v>3321.28</v>
      </c>
      <c r="R193">
        <v>841.89</v>
      </c>
      <c r="S193">
        <f t="shared" si="121"/>
        <v>2948</v>
      </c>
      <c r="T193">
        <f t="shared" si="121"/>
        <v>200</v>
      </c>
      <c r="U193" s="23">
        <f t="shared" si="82"/>
        <v>2948</v>
      </c>
      <c r="V193" s="23">
        <f t="shared" si="83"/>
        <v>200</v>
      </c>
    </row>
    <row r="194" spans="1:22" ht="18.75">
      <c r="A194" s="47">
        <v>7</v>
      </c>
      <c r="B194" s="47"/>
      <c r="C194" s="48"/>
      <c r="D194" s="49" t="s">
        <v>238</v>
      </c>
      <c r="E194">
        <v>437.8</v>
      </c>
      <c r="F194">
        <v>0</v>
      </c>
      <c r="G194">
        <v>36</v>
      </c>
      <c r="H194">
        <v>0</v>
      </c>
      <c r="I194" t="e">
        <f>ROUND(#REF!/12*3,2)</f>
        <v>#REF!</v>
      </c>
      <c r="J194" t="e">
        <f>ROUND(#REF!/12*3,2)</f>
        <v>#REF!</v>
      </c>
      <c r="M194" s="21">
        <v>97</v>
      </c>
      <c r="N194" s="21"/>
      <c r="O194" s="21"/>
      <c r="P194" s="21"/>
      <c r="S194">
        <f t="shared" si="121"/>
        <v>388</v>
      </c>
      <c r="T194">
        <f t="shared" si="121"/>
        <v>0</v>
      </c>
      <c r="U194" s="23">
        <f t="shared" si="82"/>
        <v>0</v>
      </c>
      <c r="V194" s="23">
        <f t="shared" si="83"/>
        <v>0</v>
      </c>
    </row>
    <row r="195" spans="1:22" ht="18.75">
      <c r="A195" s="50"/>
      <c r="B195" s="50" t="s">
        <v>239</v>
      </c>
      <c r="C195" s="51" t="s">
        <v>92</v>
      </c>
      <c r="D195" s="43" t="s">
        <v>237</v>
      </c>
      <c r="E195" s="1">
        <f t="shared" ref="E195:Q195" si="122">+E193+E194</f>
        <v>3406.0800000000004</v>
      </c>
      <c r="F195" s="1">
        <f t="shared" si="122"/>
        <v>789.61</v>
      </c>
      <c r="G195" s="1">
        <f t="shared" si="122"/>
        <v>283</v>
      </c>
      <c r="H195" s="1">
        <f t="shared" si="122"/>
        <v>66</v>
      </c>
      <c r="I195" s="1" t="e">
        <f t="shared" si="122"/>
        <v>#REF!</v>
      </c>
      <c r="J195" s="13" t="e">
        <f t="shared" si="122"/>
        <v>#REF!</v>
      </c>
      <c r="K195" s="1">
        <f t="shared" si="122"/>
        <v>0</v>
      </c>
      <c r="L195" s="1">
        <f t="shared" si="122"/>
        <v>0</v>
      </c>
      <c r="M195" s="1">
        <f t="shared" si="122"/>
        <v>834</v>
      </c>
      <c r="N195" s="1">
        <f t="shared" si="122"/>
        <v>50</v>
      </c>
      <c r="O195" s="1">
        <f t="shared" si="122"/>
        <v>0</v>
      </c>
      <c r="P195" s="1">
        <f t="shared" si="122"/>
        <v>0</v>
      </c>
      <c r="Q195" s="1">
        <f t="shared" si="122"/>
        <v>3321.28</v>
      </c>
      <c r="R195" s="1">
        <f t="shared" ref="R195:V195" si="123">+R193+R194</f>
        <v>841.89</v>
      </c>
      <c r="S195" s="1">
        <f t="shared" si="123"/>
        <v>3336</v>
      </c>
      <c r="T195" s="13">
        <f t="shared" si="123"/>
        <v>200</v>
      </c>
      <c r="U195" s="34">
        <f t="shared" si="123"/>
        <v>2948</v>
      </c>
      <c r="V195" s="34">
        <f t="shared" si="123"/>
        <v>200</v>
      </c>
    </row>
    <row r="196" spans="1:22" ht="18.75">
      <c r="A196" s="50">
        <v>8</v>
      </c>
      <c r="B196" s="50" t="s">
        <v>240</v>
      </c>
      <c r="C196" s="51" t="s">
        <v>241</v>
      </c>
      <c r="D196" s="43" t="s">
        <v>242</v>
      </c>
      <c r="E196">
        <v>6107.29</v>
      </c>
      <c r="F196">
        <v>763.81</v>
      </c>
      <c r="G196">
        <v>509</v>
      </c>
      <c r="H196">
        <v>64</v>
      </c>
      <c r="I196" t="e">
        <f>ROUND(#REF!/12*3,2)</f>
        <v>#REF!</v>
      </c>
      <c r="J196" t="e">
        <f>ROUND(#REF!/12*3,2)</f>
        <v>#REF!</v>
      </c>
      <c r="M196" s="24">
        <f>1830-80</f>
        <v>1750</v>
      </c>
      <c r="N196" s="24">
        <f>200-20-10</f>
        <v>170</v>
      </c>
      <c r="O196" s="24"/>
      <c r="P196" s="24"/>
      <c r="Q196">
        <v>7994</v>
      </c>
      <c r="R196">
        <v>1250</v>
      </c>
      <c r="S196">
        <f t="shared" ref="S196:S204" si="124">ROUND(M196/3*12,2)</f>
        <v>7000</v>
      </c>
      <c r="T196">
        <f t="shared" ref="T196:T204" si="125">ROUND(N196/3*12,2)</f>
        <v>680</v>
      </c>
      <c r="U196" s="23">
        <f t="shared" si="82"/>
        <v>7000</v>
      </c>
      <c r="V196" s="23">
        <f t="shared" si="83"/>
        <v>680</v>
      </c>
    </row>
    <row r="197" spans="1:22" ht="37.5">
      <c r="A197" s="50">
        <v>9</v>
      </c>
      <c r="B197" s="50" t="s">
        <v>243</v>
      </c>
      <c r="C197" s="51" t="s">
        <v>159</v>
      </c>
      <c r="D197" s="43" t="s">
        <v>244</v>
      </c>
      <c r="E197">
        <v>2784.14</v>
      </c>
      <c r="F197">
        <v>204.72</v>
      </c>
      <c r="G197">
        <v>232</v>
      </c>
      <c r="H197">
        <v>17</v>
      </c>
      <c r="I197" t="e">
        <f>ROUND(#REF!/12*3,2)</f>
        <v>#REF!</v>
      </c>
      <c r="J197" t="e">
        <f>ROUND(#REF!/12*3,2)</f>
        <v>#REF!</v>
      </c>
      <c r="M197" s="21">
        <v>700</v>
      </c>
      <c r="N197" s="24">
        <f>150-75</f>
        <v>75</v>
      </c>
      <c r="O197" s="24"/>
      <c r="P197" s="24"/>
      <c r="Q197">
        <v>2700</v>
      </c>
      <c r="R197">
        <v>338.9</v>
      </c>
      <c r="S197">
        <f t="shared" si="124"/>
        <v>2800</v>
      </c>
      <c r="T197">
        <f t="shared" si="125"/>
        <v>300</v>
      </c>
      <c r="U197" s="23">
        <f t="shared" si="82"/>
        <v>2700</v>
      </c>
      <c r="V197" s="23">
        <f t="shared" si="83"/>
        <v>300</v>
      </c>
    </row>
    <row r="198" spans="1:22" ht="18.75">
      <c r="A198" s="50">
        <v>10</v>
      </c>
      <c r="B198" s="50" t="s">
        <v>245</v>
      </c>
      <c r="C198" s="51" t="s">
        <v>246</v>
      </c>
      <c r="D198" s="43" t="s">
        <v>247</v>
      </c>
      <c r="E198">
        <v>1031.5</v>
      </c>
      <c r="F198">
        <v>73.36</v>
      </c>
      <c r="G198">
        <v>86</v>
      </c>
      <c r="H198">
        <v>6</v>
      </c>
      <c r="I198" t="e">
        <f>ROUND(#REF!/12*3,2)</f>
        <v>#REF!</v>
      </c>
      <c r="J198" t="e">
        <f>ROUND(#REF!/12*3,2)</f>
        <v>#REF!</v>
      </c>
      <c r="M198" s="21">
        <v>250</v>
      </c>
      <c r="N198" s="24">
        <f>100-50</f>
        <v>50</v>
      </c>
      <c r="O198" s="24"/>
      <c r="P198" s="24">
        <v>50</v>
      </c>
      <c r="Q198">
        <v>1112</v>
      </c>
      <c r="R198">
        <v>110</v>
      </c>
      <c r="S198">
        <f t="shared" si="124"/>
        <v>1000</v>
      </c>
      <c r="T198">
        <f t="shared" si="125"/>
        <v>200</v>
      </c>
      <c r="U198" s="23">
        <f t="shared" ref="U198:U261" si="126">IF(Q198&lt;S198,Q198,S198)</f>
        <v>1000</v>
      </c>
      <c r="V198" s="23">
        <f t="shared" ref="V198:V259" si="127">IF(R198&lt;T198,R198,T198)</f>
        <v>110</v>
      </c>
    </row>
    <row r="199" spans="1:22" ht="18.75">
      <c r="A199" s="47">
        <v>11</v>
      </c>
      <c r="B199" s="47"/>
      <c r="C199" s="48"/>
      <c r="D199" s="49" t="s">
        <v>248</v>
      </c>
      <c r="E199">
        <v>1930.5</v>
      </c>
      <c r="F199">
        <v>188.6</v>
      </c>
      <c r="G199">
        <v>161</v>
      </c>
      <c r="H199">
        <v>16</v>
      </c>
      <c r="I199" t="e">
        <f>ROUND(#REF!/12*3,2)</f>
        <v>#REF!</v>
      </c>
      <c r="J199" t="e">
        <f>ROUND(#REF!/12*3,2)</f>
        <v>#REF!</v>
      </c>
      <c r="M199" s="21">
        <v>440</v>
      </c>
      <c r="N199" s="21">
        <v>0</v>
      </c>
      <c r="O199" s="21"/>
      <c r="P199" s="21"/>
      <c r="Q199">
        <v>1800</v>
      </c>
      <c r="R199" s="30">
        <v>200</v>
      </c>
      <c r="S199">
        <f t="shared" si="124"/>
        <v>1760</v>
      </c>
      <c r="T199">
        <f t="shared" si="125"/>
        <v>0</v>
      </c>
      <c r="U199" s="23">
        <f t="shared" si="126"/>
        <v>1760</v>
      </c>
      <c r="V199" s="23">
        <f>IF(R199&lt;T199,R199,T199)+268</f>
        <v>268</v>
      </c>
    </row>
    <row r="200" spans="1:22" ht="18.75">
      <c r="A200" s="47">
        <v>12</v>
      </c>
      <c r="B200" s="47"/>
      <c r="C200" s="48"/>
      <c r="D200" s="49" t="s">
        <v>249</v>
      </c>
      <c r="E200">
        <v>604.67999999999995</v>
      </c>
      <c r="F200">
        <v>0</v>
      </c>
      <c r="G200">
        <v>50</v>
      </c>
      <c r="H200">
        <v>0</v>
      </c>
      <c r="I200" t="e">
        <f>ROUND(#REF!/12*3,2)</f>
        <v>#REF!</v>
      </c>
      <c r="J200" t="e">
        <f>ROUND(#REF!/12*3,2)</f>
        <v>#REF!</v>
      </c>
      <c r="M200" s="21">
        <v>135</v>
      </c>
      <c r="N200" s="21">
        <v>0</v>
      </c>
      <c r="O200" s="21"/>
      <c r="P200" s="21"/>
      <c r="Q200">
        <v>725</v>
      </c>
      <c r="S200">
        <f t="shared" si="124"/>
        <v>540</v>
      </c>
      <c r="T200">
        <f t="shared" si="125"/>
        <v>0</v>
      </c>
      <c r="U200" s="23">
        <f t="shared" si="126"/>
        <v>540</v>
      </c>
      <c r="V200" s="23">
        <f t="shared" si="127"/>
        <v>0</v>
      </c>
    </row>
    <row r="201" spans="1:22" ht="18.75">
      <c r="A201" s="47">
        <v>13</v>
      </c>
      <c r="B201" s="47"/>
      <c r="C201" s="48"/>
      <c r="D201" s="49" t="s">
        <v>250</v>
      </c>
      <c r="E201">
        <v>189.95</v>
      </c>
      <c r="F201">
        <v>0</v>
      </c>
      <c r="G201">
        <v>16</v>
      </c>
      <c r="H201">
        <v>0</v>
      </c>
      <c r="I201" t="e">
        <f>ROUND(#REF!/12*3,2)</f>
        <v>#REF!</v>
      </c>
      <c r="J201" t="e">
        <f>ROUND(#REF!/12*3,2)</f>
        <v>#REF!</v>
      </c>
      <c r="M201" s="21">
        <v>43</v>
      </c>
      <c r="N201" s="21">
        <v>0</v>
      </c>
      <c r="O201" s="21"/>
      <c r="P201" s="21"/>
      <c r="Q201">
        <v>225</v>
      </c>
      <c r="S201">
        <f t="shared" si="124"/>
        <v>172</v>
      </c>
      <c r="T201">
        <f t="shared" si="125"/>
        <v>0</v>
      </c>
      <c r="U201" s="23">
        <f t="shared" si="126"/>
        <v>172</v>
      </c>
      <c r="V201" s="23">
        <f t="shared" si="127"/>
        <v>0</v>
      </c>
    </row>
    <row r="202" spans="1:22" ht="18.75">
      <c r="A202" s="47">
        <v>14</v>
      </c>
      <c r="B202" s="47"/>
      <c r="C202" s="48"/>
      <c r="D202" s="49" t="s">
        <v>251</v>
      </c>
      <c r="E202">
        <v>878.33</v>
      </c>
      <c r="F202">
        <v>0</v>
      </c>
      <c r="G202">
        <v>73</v>
      </c>
      <c r="H202">
        <v>0</v>
      </c>
      <c r="I202" t="e">
        <f>ROUND(#REF!/12*3,2)</f>
        <v>#REF!</v>
      </c>
      <c r="J202" t="e">
        <f>ROUND(#REF!/12*3,2)</f>
        <v>#REF!</v>
      </c>
      <c r="M202" s="21">
        <v>160</v>
      </c>
      <c r="N202" s="21">
        <v>0</v>
      </c>
      <c r="O202" s="21"/>
      <c r="P202" s="21"/>
      <c r="Q202">
        <v>904.39</v>
      </c>
      <c r="S202">
        <f t="shared" si="124"/>
        <v>640</v>
      </c>
      <c r="T202">
        <f t="shared" si="125"/>
        <v>0</v>
      </c>
      <c r="U202" s="23">
        <f t="shared" si="126"/>
        <v>640</v>
      </c>
      <c r="V202" s="23">
        <f t="shared" si="127"/>
        <v>0</v>
      </c>
    </row>
    <row r="203" spans="1:22" ht="18.75">
      <c r="A203" s="47">
        <v>15</v>
      </c>
      <c r="B203" s="47"/>
      <c r="C203" s="48"/>
      <c r="D203" s="49" t="s">
        <v>252</v>
      </c>
      <c r="E203">
        <v>483.43</v>
      </c>
      <c r="F203">
        <v>0</v>
      </c>
      <c r="G203">
        <v>40</v>
      </c>
      <c r="H203">
        <v>0</v>
      </c>
      <c r="I203" t="e">
        <f>ROUND(#REF!/12*3,2)</f>
        <v>#REF!</v>
      </c>
      <c r="J203" t="e">
        <f>ROUND(#REF!/12*3,2)</f>
        <v>#REF!</v>
      </c>
      <c r="M203" s="21">
        <v>102</v>
      </c>
      <c r="N203" s="21">
        <v>0</v>
      </c>
      <c r="O203" s="21"/>
      <c r="P203" s="21"/>
      <c r="Q203">
        <v>571.5</v>
      </c>
      <c r="S203">
        <f t="shared" si="124"/>
        <v>408</v>
      </c>
      <c r="T203">
        <f t="shared" si="125"/>
        <v>0</v>
      </c>
      <c r="U203" s="23">
        <f t="shared" si="126"/>
        <v>408</v>
      </c>
      <c r="V203" s="23">
        <f t="shared" si="127"/>
        <v>0</v>
      </c>
    </row>
    <row r="204" spans="1:22" ht="37.5">
      <c r="A204" s="47">
        <v>16</v>
      </c>
      <c r="B204" s="47"/>
      <c r="C204" s="48"/>
      <c r="D204" s="49" t="s">
        <v>253</v>
      </c>
      <c r="E204">
        <v>0</v>
      </c>
      <c r="F204">
        <v>0</v>
      </c>
      <c r="G204">
        <v>0</v>
      </c>
      <c r="H204">
        <v>0</v>
      </c>
      <c r="I204" t="e">
        <f>ROUND(#REF!/12*3,2)</f>
        <v>#REF!</v>
      </c>
      <c r="J204" t="e">
        <f>ROUND(#REF!/12*3,2)</f>
        <v>#REF!</v>
      </c>
      <c r="M204" s="21">
        <v>0</v>
      </c>
      <c r="N204" s="21">
        <v>0</v>
      </c>
      <c r="O204" s="21"/>
      <c r="P204" s="21"/>
      <c r="S204">
        <f t="shared" si="124"/>
        <v>0</v>
      </c>
      <c r="T204">
        <f t="shared" si="125"/>
        <v>0</v>
      </c>
      <c r="U204" s="23">
        <f t="shared" si="126"/>
        <v>0</v>
      </c>
      <c r="V204" s="23">
        <f t="shared" si="127"/>
        <v>0</v>
      </c>
    </row>
    <row r="205" spans="1:22" ht="18.75">
      <c r="A205" s="50"/>
      <c r="B205" s="50" t="s">
        <v>254</v>
      </c>
      <c r="C205" s="51" t="s">
        <v>73</v>
      </c>
      <c r="D205" s="43" t="s">
        <v>248</v>
      </c>
      <c r="E205" s="1">
        <f t="shared" ref="E205:Q205" si="128">+E199+E200+E201+E202+E203+E204</f>
        <v>4086.8899999999994</v>
      </c>
      <c r="F205" s="1">
        <f t="shared" si="128"/>
        <v>188.6</v>
      </c>
      <c r="G205" s="1">
        <f t="shared" si="128"/>
        <v>340</v>
      </c>
      <c r="H205" s="1">
        <f t="shared" si="128"/>
        <v>16</v>
      </c>
      <c r="I205" s="1" t="e">
        <f t="shared" si="128"/>
        <v>#REF!</v>
      </c>
      <c r="J205" s="13" t="e">
        <f t="shared" si="128"/>
        <v>#REF!</v>
      </c>
      <c r="K205" s="1">
        <f t="shared" si="128"/>
        <v>0</v>
      </c>
      <c r="L205" s="1">
        <f t="shared" si="128"/>
        <v>0</v>
      </c>
      <c r="M205" s="1">
        <f t="shared" si="128"/>
        <v>880</v>
      </c>
      <c r="N205" s="1">
        <f t="shared" si="128"/>
        <v>0</v>
      </c>
      <c r="O205" s="1">
        <f t="shared" si="128"/>
        <v>0</v>
      </c>
      <c r="P205" s="1">
        <f t="shared" si="128"/>
        <v>0</v>
      </c>
      <c r="Q205" s="1">
        <f t="shared" si="128"/>
        <v>4225.8899999999994</v>
      </c>
      <c r="R205" s="1">
        <f t="shared" ref="R205:V205" si="129">+R199+R200+R201+R202+R203+R204</f>
        <v>200</v>
      </c>
      <c r="S205" s="1">
        <f t="shared" si="129"/>
        <v>3520</v>
      </c>
      <c r="T205" s="13">
        <f t="shared" si="129"/>
        <v>0</v>
      </c>
      <c r="U205" s="34">
        <f t="shared" si="129"/>
        <v>3520</v>
      </c>
      <c r="V205" s="34">
        <f t="shared" si="129"/>
        <v>268</v>
      </c>
    </row>
    <row r="206" spans="1:22" ht="18.75">
      <c r="A206" s="50">
        <v>17</v>
      </c>
      <c r="B206" s="50" t="s">
        <v>255</v>
      </c>
      <c r="C206" s="51" t="s">
        <v>9</v>
      </c>
      <c r="D206" s="43" t="s">
        <v>256</v>
      </c>
      <c r="E206">
        <v>3754.55</v>
      </c>
      <c r="F206">
        <v>4753.09</v>
      </c>
      <c r="G206">
        <v>313</v>
      </c>
      <c r="H206">
        <v>396</v>
      </c>
      <c r="I206" t="e">
        <f>ROUND(#REF!/12*3,2)</f>
        <v>#REF!</v>
      </c>
      <c r="J206" t="e">
        <f>ROUND(#REF!/12*3,2)</f>
        <v>#REF!</v>
      </c>
      <c r="M206" s="21">
        <v>870</v>
      </c>
      <c r="N206" s="24">
        <f>1100-100</f>
        <v>1000</v>
      </c>
      <c r="O206" s="24"/>
      <c r="P206" s="24"/>
      <c r="Q206">
        <v>3800</v>
      </c>
      <c r="R206">
        <v>4800</v>
      </c>
      <c r="S206">
        <f>ROUND(M206/3*12,2)</f>
        <v>3480</v>
      </c>
      <c r="T206">
        <f>ROUND(N206/3*12,2)</f>
        <v>4000</v>
      </c>
      <c r="U206" s="23">
        <f t="shared" si="126"/>
        <v>3480</v>
      </c>
      <c r="V206" s="23">
        <f t="shared" si="127"/>
        <v>4000</v>
      </c>
    </row>
    <row r="207" spans="1:22" s="14" customFormat="1" ht="18.75">
      <c r="A207" s="47">
        <v>18</v>
      </c>
      <c r="B207" s="47"/>
      <c r="C207" s="48"/>
      <c r="D207" s="49" t="s">
        <v>257</v>
      </c>
      <c r="E207">
        <v>825</v>
      </c>
      <c r="F207">
        <v>304.75</v>
      </c>
      <c r="G207">
        <v>69</v>
      </c>
      <c r="H207">
        <v>25</v>
      </c>
      <c r="I207" t="e">
        <f>ROUND(#REF!/12*3,2)</f>
        <v>#REF!</v>
      </c>
      <c r="J207" t="e">
        <f>ROUND(#REF!/12*3,2)</f>
        <v>#REF!</v>
      </c>
      <c r="K207" s="10"/>
      <c r="L207" s="10"/>
      <c r="M207" s="11">
        <v>200</v>
      </c>
      <c r="N207" s="21">
        <v>0</v>
      </c>
      <c r="O207" s="21"/>
      <c r="P207" s="21">
        <v>150</v>
      </c>
      <c r="Q207" s="14">
        <v>800</v>
      </c>
      <c r="R207" s="14">
        <f>150+25</f>
        <v>175</v>
      </c>
      <c r="S207">
        <f>ROUND(M207/3*12,2)</f>
        <v>800</v>
      </c>
      <c r="T207">
        <f>ROUND(N207/3*12,2)+175</f>
        <v>175</v>
      </c>
      <c r="U207" s="23">
        <f t="shared" si="126"/>
        <v>800</v>
      </c>
      <c r="V207" s="23">
        <f>IF(R207&lt;T207,R207,T207)+25</f>
        <v>200</v>
      </c>
    </row>
    <row r="208" spans="1:22" ht="18.75">
      <c r="A208" s="47">
        <v>19</v>
      </c>
      <c r="B208" s="47"/>
      <c r="C208" s="48"/>
      <c r="D208" s="49" t="s">
        <v>258</v>
      </c>
      <c r="E208">
        <v>1047.22</v>
      </c>
      <c r="F208">
        <v>0</v>
      </c>
      <c r="G208">
        <v>87</v>
      </c>
      <c r="H208">
        <v>0</v>
      </c>
      <c r="I208" t="e">
        <f>ROUND(#REF!/12*3,2)</f>
        <v>#REF!</v>
      </c>
      <c r="J208" t="e">
        <f>ROUND(#REF!/12*3,2)</f>
        <v>#REF!</v>
      </c>
      <c r="M208" s="11">
        <v>275</v>
      </c>
      <c r="N208" s="21">
        <v>0</v>
      </c>
      <c r="O208" s="21"/>
      <c r="P208" s="21"/>
      <c r="Q208">
        <v>1265</v>
      </c>
      <c r="S208">
        <f>ROUND(M208/3*12,2)</f>
        <v>1100</v>
      </c>
      <c r="T208">
        <f>ROUND(N208/3*12,2)</f>
        <v>0</v>
      </c>
      <c r="U208" s="23">
        <f t="shared" si="126"/>
        <v>1100</v>
      </c>
      <c r="V208" s="23">
        <f t="shared" si="127"/>
        <v>0</v>
      </c>
    </row>
    <row r="209" spans="1:22" ht="18.75">
      <c r="A209" s="50"/>
      <c r="B209" s="50" t="s">
        <v>259</v>
      </c>
      <c r="C209" s="51" t="s">
        <v>36</v>
      </c>
      <c r="D209" s="43" t="s">
        <v>257</v>
      </c>
      <c r="E209" s="1">
        <f t="shared" ref="E209:Q209" si="130">+E207+E208</f>
        <v>1872.22</v>
      </c>
      <c r="F209" s="1">
        <f t="shared" si="130"/>
        <v>304.75</v>
      </c>
      <c r="G209" s="1">
        <f t="shared" si="130"/>
        <v>156</v>
      </c>
      <c r="H209" s="1">
        <f t="shared" si="130"/>
        <v>25</v>
      </c>
      <c r="I209" s="1" t="e">
        <f t="shared" si="130"/>
        <v>#REF!</v>
      </c>
      <c r="J209" s="13" t="e">
        <f t="shared" si="130"/>
        <v>#REF!</v>
      </c>
      <c r="K209" s="1">
        <f t="shared" si="130"/>
        <v>0</v>
      </c>
      <c r="L209" s="1">
        <f t="shared" si="130"/>
        <v>0</v>
      </c>
      <c r="M209" s="1">
        <f t="shared" si="130"/>
        <v>475</v>
      </c>
      <c r="N209" s="1">
        <f t="shared" si="130"/>
        <v>0</v>
      </c>
      <c r="O209" s="1">
        <f t="shared" si="130"/>
        <v>0</v>
      </c>
      <c r="P209" s="1">
        <f t="shared" si="130"/>
        <v>150</v>
      </c>
      <c r="Q209" s="1">
        <f t="shared" si="130"/>
        <v>2065</v>
      </c>
      <c r="R209" s="1">
        <f t="shared" ref="R209:V209" si="131">+R207+R208</f>
        <v>175</v>
      </c>
      <c r="S209" s="1">
        <f t="shared" si="131"/>
        <v>1900</v>
      </c>
      <c r="T209" s="13">
        <f t="shared" si="131"/>
        <v>175</v>
      </c>
      <c r="U209" s="34">
        <f t="shared" si="131"/>
        <v>1900</v>
      </c>
      <c r="V209" s="34">
        <f t="shared" si="131"/>
        <v>200</v>
      </c>
    </row>
    <row r="210" spans="1:22" ht="18.75">
      <c r="A210" s="47">
        <v>20</v>
      </c>
      <c r="B210" s="47"/>
      <c r="C210" s="48"/>
      <c r="D210" s="49" t="s">
        <v>260</v>
      </c>
      <c r="E210">
        <v>1213.9100000000001</v>
      </c>
      <c r="F210">
        <v>0.52</v>
      </c>
      <c r="G210">
        <v>101</v>
      </c>
      <c r="H210">
        <v>0</v>
      </c>
      <c r="I210" t="e">
        <f>ROUND(#REF!/12*3,2)</f>
        <v>#REF!</v>
      </c>
      <c r="J210" t="e">
        <f>ROUND(#REF!/12*3,2)</f>
        <v>#REF!</v>
      </c>
      <c r="M210" s="24">
        <f>395.41-50</f>
        <v>345.41</v>
      </c>
      <c r="N210" s="24">
        <f>175.6-75.6</f>
        <v>100</v>
      </c>
      <c r="O210" s="24"/>
      <c r="P210" s="24"/>
      <c r="Q210">
        <v>1391.19</v>
      </c>
      <c r="R210">
        <v>390</v>
      </c>
      <c r="S210">
        <f t="shared" ref="S210:T212" si="132">ROUND(M210/3*12,2)</f>
        <v>1381.64</v>
      </c>
      <c r="T210">
        <f t="shared" si="132"/>
        <v>400</v>
      </c>
      <c r="U210" s="23">
        <f t="shared" si="126"/>
        <v>1381.64</v>
      </c>
      <c r="V210" s="23">
        <f t="shared" si="127"/>
        <v>390</v>
      </c>
    </row>
    <row r="211" spans="1:22" ht="18.75">
      <c r="A211" s="47">
        <v>21</v>
      </c>
      <c r="B211" s="47"/>
      <c r="C211" s="48"/>
      <c r="D211" s="49" t="s">
        <v>261</v>
      </c>
      <c r="E211">
        <v>2104.31</v>
      </c>
      <c r="F211">
        <v>0</v>
      </c>
      <c r="G211">
        <v>175</v>
      </c>
      <c r="H211">
        <v>0</v>
      </c>
      <c r="I211" t="e">
        <f>ROUND(#REF!/12*3,2)</f>
        <v>#REF!</v>
      </c>
      <c r="J211" t="e">
        <f>ROUND(#REF!/12*3,2)</f>
        <v>#REF!</v>
      </c>
      <c r="M211" s="11">
        <v>470</v>
      </c>
      <c r="N211" s="21">
        <v>0</v>
      </c>
      <c r="O211" s="21"/>
      <c r="P211" s="21"/>
      <c r="Q211">
        <v>2143</v>
      </c>
      <c r="S211">
        <f t="shared" si="132"/>
        <v>1880</v>
      </c>
      <c r="T211">
        <f t="shared" si="132"/>
        <v>0</v>
      </c>
      <c r="U211" s="23">
        <f t="shared" si="126"/>
        <v>1880</v>
      </c>
      <c r="V211" s="23">
        <f t="shared" si="127"/>
        <v>0</v>
      </c>
    </row>
    <row r="212" spans="1:22" ht="18.75">
      <c r="A212" s="47">
        <v>22</v>
      </c>
      <c r="B212" s="47"/>
      <c r="C212" s="48"/>
      <c r="D212" s="49" t="s">
        <v>262</v>
      </c>
      <c r="E212">
        <v>0</v>
      </c>
      <c r="F212">
        <v>0</v>
      </c>
      <c r="G212">
        <v>0</v>
      </c>
      <c r="H212">
        <v>0</v>
      </c>
      <c r="I212" t="e">
        <f>ROUND(#REF!/12*3,2)</f>
        <v>#REF!</v>
      </c>
      <c r="J212" t="e">
        <f>ROUND(#REF!/12*3,2)</f>
        <v>#REF!</v>
      </c>
      <c r="M212" s="10">
        <v>0</v>
      </c>
      <c r="N212" s="21">
        <v>0</v>
      </c>
      <c r="O212" s="21"/>
      <c r="P212" s="21"/>
      <c r="S212">
        <f t="shared" si="132"/>
        <v>0</v>
      </c>
      <c r="T212">
        <f t="shared" si="132"/>
        <v>0</v>
      </c>
      <c r="U212" s="23">
        <f t="shared" si="126"/>
        <v>0</v>
      </c>
      <c r="V212" s="23">
        <f t="shared" si="127"/>
        <v>0</v>
      </c>
    </row>
    <row r="213" spans="1:22" ht="18.75">
      <c r="A213" s="50"/>
      <c r="B213" s="50" t="s">
        <v>263</v>
      </c>
      <c r="C213" s="51" t="s">
        <v>17</v>
      </c>
      <c r="D213" s="43" t="s">
        <v>260</v>
      </c>
      <c r="E213" s="1">
        <f t="shared" ref="E213:Q213" si="133">+E210+E211+E212</f>
        <v>3318.2200000000003</v>
      </c>
      <c r="F213" s="1">
        <f t="shared" si="133"/>
        <v>0.52</v>
      </c>
      <c r="G213" s="1">
        <f t="shared" si="133"/>
        <v>276</v>
      </c>
      <c r="H213" s="1">
        <f t="shared" si="133"/>
        <v>0</v>
      </c>
      <c r="I213" s="1" t="e">
        <f t="shared" si="133"/>
        <v>#REF!</v>
      </c>
      <c r="J213" s="13" t="e">
        <f t="shared" si="133"/>
        <v>#REF!</v>
      </c>
      <c r="K213" s="1">
        <f t="shared" si="133"/>
        <v>0</v>
      </c>
      <c r="L213" s="1">
        <f t="shared" si="133"/>
        <v>0</v>
      </c>
      <c r="M213" s="1">
        <f t="shared" si="133"/>
        <v>815.41000000000008</v>
      </c>
      <c r="N213" s="1">
        <f t="shared" si="133"/>
        <v>100</v>
      </c>
      <c r="O213" s="1">
        <f t="shared" si="133"/>
        <v>0</v>
      </c>
      <c r="P213" s="1">
        <f t="shared" si="133"/>
        <v>0</v>
      </c>
      <c r="Q213" s="1">
        <f t="shared" si="133"/>
        <v>3534.19</v>
      </c>
      <c r="R213" s="1">
        <f t="shared" ref="R213:V213" si="134">+R210+R211+R212</f>
        <v>390</v>
      </c>
      <c r="S213" s="1">
        <f t="shared" si="134"/>
        <v>3261.6400000000003</v>
      </c>
      <c r="T213" s="13">
        <f t="shared" si="134"/>
        <v>400</v>
      </c>
      <c r="U213" s="34">
        <f t="shared" si="134"/>
        <v>3261.6400000000003</v>
      </c>
      <c r="V213" s="34">
        <f t="shared" si="134"/>
        <v>390</v>
      </c>
    </row>
    <row r="214" spans="1:22" ht="37.5">
      <c r="A214" s="50">
        <v>23</v>
      </c>
      <c r="B214" s="50" t="s">
        <v>264</v>
      </c>
      <c r="C214" s="51" t="s">
        <v>159</v>
      </c>
      <c r="D214" s="43" t="s">
        <v>401</v>
      </c>
      <c r="E214">
        <v>240.27</v>
      </c>
      <c r="F214">
        <v>0</v>
      </c>
      <c r="G214">
        <v>20</v>
      </c>
      <c r="H214">
        <v>0</v>
      </c>
      <c r="I214" t="e">
        <f>ROUND(#REF!/12*3,2)</f>
        <v>#REF!</v>
      </c>
      <c r="J214" t="e">
        <f>ROUND(#REF!/12*3,2)</f>
        <v>#REF!</v>
      </c>
      <c r="M214" s="21">
        <v>70</v>
      </c>
      <c r="N214" s="21">
        <v>0</v>
      </c>
      <c r="O214" s="21"/>
      <c r="P214" s="21"/>
      <c r="Q214">
        <v>300</v>
      </c>
      <c r="S214">
        <f t="shared" ref="S214:T216" si="135">ROUND(M214/3*12,2)</f>
        <v>280</v>
      </c>
      <c r="T214">
        <f t="shared" si="135"/>
        <v>0</v>
      </c>
      <c r="U214" s="23">
        <f t="shared" si="126"/>
        <v>280</v>
      </c>
      <c r="V214" s="23">
        <f t="shared" si="127"/>
        <v>0</v>
      </c>
    </row>
    <row r="215" spans="1:22" ht="18.75">
      <c r="A215" s="47">
        <v>24</v>
      </c>
      <c r="B215" s="47"/>
      <c r="C215" s="48"/>
      <c r="D215" s="49" t="s">
        <v>265</v>
      </c>
      <c r="E215">
        <v>926.2</v>
      </c>
      <c r="F215">
        <v>56.05</v>
      </c>
      <c r="G215">
        <v>77</v>
      </c>
      <c r="H215">
        <v>5</v>
      </c>
      <c r="I215" t="e">
        <f>ROUND(#REF!/12*3,2)</f>
        <v>#REF!</v>
      </c>
      <c r="J215" t="e">
        <f>ROUND(#REF!/12*3,2)</f>
        <v>#REF!</v>
      </c>
      <c r="M215" s="21">
        <v>235</v>
      </c>
      <c r="N215" s="21">
        <v>0</v>
      </c>
      <c r="O215" s="21"/>
      <c r="P215" s="21"/>
      <c r="Q215">
        <v>952.53</v>
      </c>
      <c r="R215">
        <v>95</v>
      </c>
      <c r="S215">
        <f t="shared" si="135"/>
        <v>940</v>
      </c>
      <c r="T215">
        <f t="shared" si="135"/>
        <v>0</v>
      </c>
      <c r="U215" s="23">
        <f t="shared" si="126"/>
        <v>940</v>
      </c>
      <c r="V215" s="23">
        <f>IF(R215&lt;T215,R215,T215)+95</f>
        <v>95</v>
      </c>
    </row>
    <row r="216" spans="1:22" ht="37.5">
      <c r="A216" s="47">
        <v>25</v>
      </c>
      <c r="B216" s="47"/>
      <c r="C216" s="48"/>
      <c r="D216" s="49" t="s">
        <v>266</v>
      </c>
      <c r="E216">
        <v>719.24</v>
      </c>
      <c r="F216">
        <v>0</v>
      </c>
      <c r="G216">
        <v>60</v>
      </c>
      <c r="H216">
        <v>0</v>
      </c>
      <c r="I216" t="e">
        <f>ROUND(#REF!/12*3,2)</f>
        <v>#REF!</v>
      </c>
      <c r="J216" t="e">
        <f>ROUND(#REF!/12*3,2)</f>
        <v>#REF!</v>
      </c>
      <c r="M216" s="21">
        <v>180</v>
      </c>
      <c r="N216" s="21">
        <v>0</v>
      </c>
      <c r="O216" s="21"/>
      <c r="P216" s="21"/>
      <c r="Q216">
        <v>835.29</v>
      </c>
      <c r="S216">
        <f t="shared" si="135"/>
        <v>720</v>
      </c>
      <c r="T216">
        <f t="shared" si="135"/>
        <v>0</v>
      </c>
      <c r="U216" s="23">
        <f t="shared" si="126"/>
        <v>720</v>
      </c>
      <c r="V216" s="23">
        <f t="shared" si="127"/>
        <v>0</v>
      </c>
    </row>
    <row r="217" spans="1:22" ht="18.75">
      <c r="A217" s="50"/>
      <c r="B217" s="50" t="s">
        <v>267</v>
      </c>
      <c r="C217" s="51" t="s">
        <v>73</v>
      </c>
      <c r="D217" s="43" t="s">
        <v>265</v>
      </c>
      <c r="E217" s="1">
        <f t="shared" ref="E217:R217" si="136">+E215+E216</f>
        <v>1645.44</v>
      </c>
      <c r="F217" s="1">
        <f t="shared" si="136"/>
        <v>56.05</v>
      </c>
      <c r="G217" s="1">
        <f t="shared" si="136"/>
        <v>137</v>
      </c>
      <c r="H217" s="1">
        <f t="shared" si="136"/>
        <v>5</v>
      </c>
      <c r="I217" s="1" t="e">
        <f t="shared" si="136"/>
        <v>#REF!</v>
      </c>
      <c r="J217" s="13" t="e">
        <f t="shared" si="136"/>
        <v>#REF!</v>
      </c>
      <c r="K217" s="1">
        <f t="shared" si="136"/>
        <v>0</v>
      </c>
      <c r="L217" s="1">
        <f t="shared" si="136"/>
        <v>0</v>
      </c>
      <c r="M217" s="1">
        <f t="shared" si="136"/>
        <v>415</v>
      </c>
      <c r="N217" s="1">
        <f t="shared" si="136"/>
        <v>0</v>
      </c>
      <c r="O217" s="1">
        <f t="shared" si="136"/>
        <v>0</v>
      </c>
      <c r="P217" s="1">
        <f t="shared" si="136"/>
        <v>0</v>
      </c>
      <c r="Q217" s="1">
        <f t="shared" si="136"/>
        <v>1787.82</v>
      </c>
      <c r="R217" s="1">
        <f t="shared" si="136"/>
        <v>95</v>
      </c>
      <c r="S217" s="1">
        <f t="shared" ref="S217:V217" si="137">+S215+S216</f>
        <v>1660</v>
      </c>
      <c r="T217" s="13">
        <f t="shared" si="137"/>
        <v>0</v>
      </c>
      <c r="U217" s="34">
        <f t="shared" si="137"/>
        <v>1660</v>
      </c>
      <c r="V217" s="34">
        <f t="shared" si="137"/>
        <v>95</v>
      </c>
    </row>
    <row r="218" spans="1:22" ht="18.75">
      <c r="A218" s="50">
        <v>26</v>
      </c>
      <c r="B218" s="50"/>
      <c r="C218" s="51"/>
      <c r="D218" s="49" t="s">
        <v>268</v>
      </c>
      <c r="E218">
        <v>1409.9</v>
      </c>
      <c r="F218">
        <v>527.85</v>
      </c>
      <c r="G218">
        <v>117</v>
      </c>
      <c r="H218">
        <v>44</v>
      </c>
      <c r="I218" t="e">
        <f>ROUND(#REF!/12*3,2)</f>
        <v>#REF!</v>
      </c>
      <c r="J218" t="e">
        <f>ROUND(#REF!/12*3,2)</f>
        <v>#REF!</v>
      </c>
      <c r="M218" s="21">
        <v>328</v>
      </c>
      <c r="N218" s="21">
        <v>12</v>
      </c>
      <c r="O218" s="21"/>
      <c r="P218" s="21"/>
      <c r="Q218">
        <v>1420</v>
      </c>
      <c r="R218">
        <v>250</v>
      </c>
      <c r="S218">
        <f t="shared" ref="S218:T220" si="138">ROUND(M218/3*12,2)</f>
        <v>1312</v>
      </c>
      <c r="T218">
        <f t="shared" si="138"/>
        <v>48</v>
      </c>
      <c r="U218" s="23">
        <f t="shared" si="126"/>
        <v>1312</v>
      </c>
      <c r="V218" s="23">
        <f>IF(R218&lt;T218,R218,T218)+272</f>
        <v>320</v>
      </c>
    </row>
    <row r="219" spans="1:22" ht="37.5">
      <c r="A219" s="47">
        <v>27</v>
      </c>
      <c r="B219" s="47"/>
      <c r="C219" s="48"/>
      <c r="D219" s="49" t="s">
        <v>269</v>
      </c>
      <c r="E219">
        <v>2344.2399999999998</v>
      </c>
      <c r="F219">
        <v>0</v>
      </c>
      <c r="G219">
        <v>195</v>
      </c>
      <c r="H219">
        <v>0</v>
      </c>
      <c r="I219" t="e">
        <f>ROUND(#REF!/12*3,2)</f>
        <v>#REF!</v>
      </c>
      <c r="J219" t="e">
        <f>ROUND(#REF!/12*3,2)</f>
        <v>#REF!</v>
      </c>
      <c r="M219" s="21">
        <f>685-70</f>
        <v>615</v>
      </c>
      <c r="N219" s="21">
        <v>0</v>
      </c>
      <c r="O219" s="21"/>
      <c r="P219" s="21"/>
      <c r="Q219">
        <v>2131.13</v>
      </c>
      <c r="S219">
        <f t="shared" si="138"/>
        <v>2460</v>
      </c>
      <c r="T219">
        <f t="shared" si="138"/>
        <v>0</v>
      </c>
      <c r="U219" s="23">
        <f t="shared" si="126"/>
        <v>2131.13</v>
      </c>
      <c r="V219" s="23">
        <f t="shared" si="127"/>
        <v>0</v>
      </c>
    </row>
    <row r="220" spans="1:22" ht="37.5">
      <c r="A220" s="47">
        <v>28</v>
      </c>
      <c r="B220" s="47"/>
      <c r="C220" s="48"/>
      <c r="D220" s="49" t="s">
        <v>270</v>
      </c>
      <c r="E220">
        <v>0</v>
      </c>
      <c r="F220">
        <v>0</v>
      </c>
      <c r="G220">
        <v>0</v>
      </c>
      <c r="H220">
        <v>0</v>
      </c>
      <c r="I220" t="e">
        <f>ROUND(#REF!/12*3,2)</f>
        <v>#REF!</v>
      </c>
      <c r="J220" t="e">
        <f>ROUND(#REF!/12*3,2)</f>
        <v>#REF!</v>
      </c>
      <c r="M220" s="21">
        <v>0</v>
      </c>
      <c r="N220" s="21">
        <v>0</v>
      </c>
      <c r="O220" s="21"/>
      <c r="P220" s="21"/>
      <c r="S220">
        <f t="shared" si="138"/>
        <v>0</v>
      </c>
      <c r="T220">
        <f t="shared" si="138"/>
        <v>0</v>
      </c>
      <c r="U220" s="23">
        <f t="shared" si="126"/>
        <v>0</v>
      </c>
      <c r="V220" s="23">
        <f t="shared" si="127"/>
        <v>0</v>
      </c>
    </row>
    <row r="221" spans="1:22" ht="18.75">
      <c r="A221" s="50"/>
      <c r="B221" s="50" t="s">
        <v>271</v>
      </c>
      <c r="C221" s="51" t="s">
        <v>36</v>
      </c>
      <c r="D221" s="43" t="s">
        <v>268</v>
      </c>
      <c r="E221" s="1">
        <f t="shared" ref="E221:R221" si="139">+E218+E219+E220</f>
        <v>3754.14</v>
      </c>
      <c r="F221" s="1">
        <f t="shared" si="139"/>
        <v>527.85</v>
      </c>
      <c r="G221" s="1">
        <f t="shared" si="139"/>
        <v>312</v>
      </c>
      <c r="H221" s="1">
        <f t="shared" si="139"/>
        <v>44</v>
      </c>
      <c r="I221" s="1" t="e">
        <f t="shared" si="139"/>
        <v>#REF!</v>
      </c>
      <c r="J221" s="13" t="e">
        <f t="shared" si="139"/>
        <v>#REF!</v>
      </c>
      <c r="K221" s="1">
        <f t="shared" si="139"/>
        <v>0</v>
      </c>
      <c r="L221" s="1">
        <f t="shared" si="139"/>
        <v>0</v>
      </c>
      <c r="M221" s="1">
        <f t="shared" si="139"/>
        <v>943</v>
      </c>
      <c r="N221" s="1">
        <f t="shared" si="139"/>
        <v>12</v>
      </c>
      <c r="O221" s="1">
        <f t="shared" si="139"/>
        <v>0</v>
      </c>
      <c r="P221" s="1">
        <f t="shared" si="139"/>
        <v>0</v>
      </c>
      <c r="Q221" s="1">
        <f t="shared" si="139"/>
        <v>3551.13</v>
      </c>
      <c r="R221" s="1">
        <f t="shared" si="139"/>
        <v>250</v>
      </c>
      <c r="S221" s="1">
        <f t="shared" ref="S221:V221" si="140">+S218+S219+S220</f>
        <v>3772</v>
      </c>
      <c r="T221" s="13">
        <f t="shared" si="140"/>
        <v>48</v>
      </c>
      <c r="U221" s="34">
        <f t="shared" si="140"/>
        <v>3443.13</v>
      </c>
      <c r="V221" s="34">
        <f t="shared" si="140"/>
        <v>320</v>
      </c>
    </row>
    <row r="222" spans="1:22" ht="18.75">
      <c r="A222" s="50">
        <v>29</v>
      </c>
      <c r="B222" s="50" t="s">
        <v>272</v>
      </c>
      <c r="C222" s="51" t="s">
        <v>9</v>
      </c>
      <c r="D222" s="43" t="s">
        <v>273</v>
      </c>
      <c r="E222">
        <v>797.92</v>
      </c>
      <c r="F222">
        <v>2.9</v>
      </c>
      <c r="G222">
        <v>66</v>
      </c>
      <c r="H222">
        <v>0</v>
      </c>
      <c r="I222" t="e">
        <f>ROUND(#REF!/12*3,2)</f>
        <v>#REF!</v>
      </c>
      <c r="J222" t="e">
        <f>ROUND(#REF!/12*3,2)</f>
        <v>#REF!</v>
      </c>
      <c r="M222" s="21">
        <v>210</v>
      </c>
      <c r="N222" s="21">
        <v>0</v>
      </c>
      <c r="O222" s="21"/>
      <c r="P222" s="21"/>
      <c r="Q222">
        <v>720</v>
      </c>
      <c r="R222">
        <v>0</v>
      </c>
      <c r="S222">
        <f>ROUND(M222/3*12,2)</f>
        <v>840</v>
      </c>
      <c r="T222">
        <f>ROUND(N222/3*12,2)</f>
        <v>0</v>
      </c>
      <c r="U222" s="23">
        <f t="shared" si="126"/>
        <v>720</v>
      </c>
      <c r="V222" s="23">
        <f t="shared" si="127"/>
        <v>0</v>
      </c>
    </row>
    <row r="223" spans="1:22" ht="18.75">
      <c r="A223" s="50"/>
      <c r="B223" s="50"/>
      <c r="C223" s="51"/>
      <c r="D223" s="43" t="s">
        <v>274</v>
      </c>
      <c r="E223" s="4">
        <f t="shared" ref="E223:R223" si="141">+E222+E221+E217+E214+E213+E205+E206+E209+E196+E197+E198+E195+E192+E191+E187</f>
        <v>48692.43</v>
      </c>
      <c r="F223" s="4">
        <f t="shared" si="141"/>
        <v>17119.079999999998</v>
      </c>
      <c r="G223" s="4">
        <f t="shared" si="141"/>
        <v>4055</v>
      </c>
      <c r="H223" s="4">
        <f t="shared" si="141"/>
        <v>1427</v>
      </c>
      <c r="I223" s="4" t="e">
        <f t="shared" si="141"/>
        <v>#REF!</v>
      </c>
      <c r="J223" s="18" t="e">
        <f t="shared" si="141"/>
        <v>#REF!</v>
      </c>
      <c r="K223" s="4">
        <f t="shared" si="141"/>
        <v>0</v>
      </c>
      <c r="L223" s="4">
        <f t="shared" si="141"/>
        <v>0</v>
      </c>
      <c r="M223" s="4">
        <f t="shared" si="141"/>
        <v>12052.41</v>
      </c>
      <c r="N223" s="4">
        <f t="shared" si="141"/>
        <v>3302</v>
      </c>
      <c r="O223" s="4">
        <f t="shared" si="141"/>
        <v>0</v>
      </c>
      <c r="P223" s="4">
        <f t="shared" si="141"/>
        <v>200</v>
      </c>
      <c r="Q223" s="4">
        <f t="shared" si="141"/>
        <v>50758.47</v>
      </c>
      <c r="R223" s="4">
        <f t="shared" si="141"/>
        <v>16810.79</v>
      </c>
      <c r="S223" s="4">
        <f t="shared" ref="S223:V223" si="142">+S222+S221+S217+S214+S213+S205+S206+S209+S196+S197+S198+S195+S192+S191+S187</f>
        <v>48209.64</v>
      </c>
      <c r="T223" s="18">
        <f t="shared" si="142"/>
        <v>13383</v>
      </c>
      <c r="U223" s="35">
        <f t="shared" si="142"/>
        <v>47112.770000000004</v>
      </c>
      <c r="V223" s="35">
        <f t="shared" si="142"/>
        <v>13843</v>
      </c>
    </row>
    <row r="224" spans="1:22" ht="18.75">
      <c r="A224" s="50">
        <v>30</v>
      </c>
      <c r="B224" s="50"/>
      <c r="C224" s="51"/>
      <c r="D224" s="43" t="s">
        <v>275</v>
      </c>
      <c r="E224">
        <v>0</v>
      </c>
      <c r="F224">
        <v>0</v>
      </c>
      <c r="G224">
        <v>0</v>
      </c>
      <c r="H224">
        <v>0</v>
      </c>
      <c r="I224" t="e">
        <f>ROUND(#REF!/12*3,2)</f>
        <v>#REF!</v>
      </c>
      <c r="J224" t="e">
        <f>ROUND(#REF!/12*3,2)</f>
        <v>#REF!</v>
      </c>
      <c r="M224" s="21">
        <v>0</v>
      </c>
      <c r="N224" s="21">
        <v>0</v>
      </c>
      <c r="O224" s="21"/>
      <c r="P224" s="21"/>
      <c r="Q224">
        <v>0</v>
      </c>
      <c r="R224">
        <v>0</v>
      </c>
      <c r="S224">
        <f>ROUND(M224/3*12,2)</f>
        <v>0</v>
      </c>
      <c r="T224">
        <f>ROUND(N224/3*12,2)</f>
        <v>0</v>
      </c>
      <c r="U224" s="23">
        <f t="shared" si="126"/>
        <v>0</v>
      </c>
      <c r="V224" s="23">
        <f t="shared" si="127"/>
        <v>0</v>
      </c>
    </row>
    <row r="225" spans="1:22" ht="18.75">
      <c r="A225" s="50"/>
      <c r="B225" s="50" t="s">
        <v>276</v>
      </c>
      <c r="C225" s="51"/>
      <c r="D225" s="43" t="s">
        <v>277</v>
      </c>
      <c r="E225" s="4">
        <f t="shared" ref="E225:R225" si="143">E224</f>
        <v>0</v>
      </c>
      <c r="F225" s="4">
        <f t="shared" si="143"/>
        <v>0</v>
      </c>
      <c r="G225" s="4">
        <f t="shared" si="143"/>
        <v>0</v>
      </c>
      <c r="H225" s="4">
        <f t="shared" si="143"/>
        <v>0</v>
      </c>
      <c r="I225" s="4" t="e">
        <f t="shared" si="143"/>
        <v>#REF!</v>
      </c>
      <c r="J225" s="18" t="e">
        <f t="shared" si="143"/>
        <v>#REF!</v>
      </c>
      <c r="K225" s="4">
        <f t="shared" si="143"/>
        <v>0</v>
      </c>
      <c r="L225" s="4">
        <f t="shared" si="143"/>
        <v>0</v>
      </c>
      <c r="M225" s="4">
        <f t="shared" si="143"/>
        <v>0</v>
      </c>
      <c r="N225" s="4">
        <f t="shared" si="143"/>
        <v>0</v>
      </c>
      <c r="O225" s="4">
        <f t="shared" si="143"/>
        <v>0</v>
      </c>
      <c r="P225" s="4">
        <f t="shared" si="143"/>
        <v>0</v>
      </c>
      <c r="Q225" s="4">
        <f t="shared" si="143"/>
        <v>0</v>
      </c>
      <c r="R225" s="4">
        <f t="shared" si="143"/>
        <v>0</v>
      </c>
      <c r="S225" s="4">
        <f t="shared" ref="S225:V225" si="144">S224</f>
        <v>0</v>
      </c>
      <c r="T225" s="18">
        <f t="shared" si="144"/>
        <v>0</v>
      </c>
      <c r="U225" s="35">
        <f t="shared" si="144"/>
        <v>0</v>
      </c>
      <c r="V225" s="35">
        <f t="shared" si="144"/>
        <v>0</v>
      </c>
    </row>
    <row r="226" spans="1:22" ht="18.75">
      <c r="A226" s="47">
        <v>1</v>
      </c>
      <c r="B226" s="47"/>
      <c r="C226" s="48"/>
      <c r="D226" s="49" t="s">
        <v>278</v>
      </c>
      <c r="E226">
        <v>2552</v>
      </c>
      <c r="F226">
        <v>2541.5</v>
      </c>
      <c r="G226">
        <v>213</v>
      </c>
      <c r="H226">
        <v>212</v>
      </c>
      <c r="I226" t="e">
        <f>ROUND(#REF!/12*3,2)</f>
        <v>#REF!</v>
      </c>
      <c r="J226" t="e">
        <f>ROUND(#REF!/12*3,2)</f>
        <v>#REF!</v>
      </c>
      <c r="M226" s="21">
        <v>630</v>
      </c>
      <c r="N226" s="21">
        <v>638</v>
      </c>
      <c r="O226" s="21"/>
      <c r="P226" s="21"/>
      <c r="Q226">
        <v>2500</v>
      </c>
      <c r="R226">
        <v>2200</v>
      </c>
      <c r="S226">
        <f>ROUND(M226/3*12,2)</f>
        <v>2520</v>
      </c>
      <c r="T226">
        <f>ROUND(N226/3*12,2)</f>
        <v>2552</v>
      </c>
      <c r="U226" s="23">
        <f t="shared" si="126"/>
        <v>2500</v>
      </c>
      <c r="V226" s="23">
        <f t="shared" si="127"/>
        <v>2200</v>
      </c>
    </row>
    <row r="227" spans="1:22" ht="18.75">
      <c r="A227" s="47">
        <v>2</v>
      </c>
      <c r="B227" s="47"/>
      <c r="C227" s="48"/>
      <c r="D227" s="49" t="s">
        <v>279</v>
      </c>
      <c r="E227">
        <v>0</v>
      </c>
      <c r="F227">
        <v>0</v>
      </c>
      <c r="G227">
        <v>0</v>
      </c>
      <c r="H227">
        <v>0</v>
      </c>
      <c r="I227" t="e">
        <f>ROUND(#REF!/12*3,2)</f>
        <v>#REF!</v>
      </c>
      <c r="J227" t="e">
        <f>ROUND(#REF!/12*3,2)</f>
        <v>#REF!</v>
      </c>
      <c r="M227" s="21">
        <v>0</v>
      </c>
      <c r="N227" s="21">
        <v>0</v>
      </c>
      <c r="O227" s="21"/>
      <c r="P227" s="21"/>
      <c r="S227">
        <f>ROUND(M227/3*12,2)</f>
        <v>0</v>
      </c>
      <c r="T227">
        <f>ROUND(N227/3*12,2)</f>
        <v>0</v>
      </c>
      <c r="U227" s="23">
        <f t="shared" si="126"/>
        <v>0</v>
      </c>
      <c r="V227" s="23">
        <f t="shared" si="127"/>
        <v>0</v>
      </c>
    </row>
    <row r="228" spans="1:22" ht="18.75">
      <c r="A228" s="50"/>
      <c r="B228" s="50" t="s">
        <v>280</v>
      </c>
      <c r="C228" s="51" t="s">
        <v>50</v>
      </c>
      <c r="D228" s="43" t="s">
        <v>278</v>
      </c>
      <c r="E228" s="1">
        <f t="shared" ref="E228:R228" si="145">+E226+E227</f>
        <v>2552</v>
      </c>
      <c r="F228" s="1">
        <f t="shared" si="145"/>
        <v>2541.5</v>
      </c>
      <c r="G228" s="1">
        <f t="shared" si="145"/>
        <v>213</v>
      </c>
      <c r="H228" s="1">
        <f t="shared" si="145"/>
        <v>212</v>
      </c>
      <c r="I228" s="1" t="e">
        <f t="shared" si="145"/>
        <v>#REF!</v>
      </c>
      <c r="J228" s="13" t="e">
        <f t="shared" si="145"/>
        <v>#REF!</v>
      </c>
      <c r="K228" s="1">
        <f t="shared" si="145"/>
        <v>0</v>
      </c>
      <c r="L228" s="1">
        <f t="shared" si="145"/>
        <v>0</v>
      </c>
      <c r="M228" s="1">
        <f t="shared" si="145"/>
        <v>630</v>
      </c>
      <c r="N228" s="1">
        <f t="shared" si="145"/>
        <v>638</v>
      </c>
      <c r="O228" s="1">
        <f t="shared" si="145"/>
        <v>0</v>
      </c>
      <c r="P228" s="1">
        <f t="shared" si="145"/>
        <v>0</v>
      </c>
      <c r="Q228" s="1">
        <f t="shared" si="145"/>
        <v>2500</v>
      </c>
      <c r="R228" s="1">
        <f t="shared" si="145"/>
        <v>2200</v>
      </c>
      <c r="S228" s="1">
        <f t="shared" ref="S228:V228" si="146">+S226+S227</f>
        <v>2520</v>
      </c>
      <c r="T228" s="13">
        <f t="shared" si="146"/>
        <v>2552</v>
      </c>
      <c r="U228" s="34">
        <f t="shared" si="146"/>
        <v>2500</v>
      </c>
      <c r="V228" s="34">
        <f t="shared" si="146"/>
        <v>2200</v>
      </c>
    </row>
    <row r="229" spans="1:22" ht="18.75">
      <c r="A229" s="50">
        <v>3</v>
      </c>
      <c r="B229" s="50" t="s">
        <v>281</v>
      </c>
      <c r="C229" s="51" t="s">
        <v>13</v>
      </c>
      <c r="D229" s="43" t="s">
        <v>282</v>
      </c>
      <c r="E229">
        <v>3279.12</v>
      </c>
      <c r="F229">
        <v>8609.73</v>
      </c>
      <c r="G229">
        <v>273</v>
      </c>
      <c r="H229">
        <v>717</v>
      </c>
      <c r="I229" t="e">
        <f>ROUND(#REF!/12*3,2)</f>
        <v>#REF!</v>
      </c>
      <c r="J229" t="e">
        <f>ROUND(#REF!/12*3,2)</f>
        <v>#REF!</v>
      </c>
      <c r="M229" s="21">
        <v>807</v>
      </c>
      <c r="N229" s="24">
        <f>2464-200-64-20</f>
        <v>2180</v>
      </c>
      <c r="O229" s="24"/>
      <c r="P229" s="24"/>
      <c r="Q229">
        <v>3020</v>
      </c>
      <c r="R229">
        <v>7500</v>
      </c>
      <c r="S229">
        <f t="shared" ref="S229:T234" si="147">ROUND(M229/3*12,2)</f>
        <v>3228</v>
      </c>
      <c r="T229">
        <f t="shared" si="147"/>
        <v>8720</v>
      </c>
      <c r="U229" s="23">
        <f t="shared" si="126"/>
        <v>3020</v>
      </c>
      <c r="V229" s="23">
        <f t="shared" si="127"/>
        <v>7500</v>
      </c>
    </row>
    <row r="230" spans="1:22" ht="18.75">
      <c r="A230" s="50">
        <v>4</v>
      </c>
      <c r="B230" s="50" t="s">
        <v>283</v>
      </c>
      <c r="C230" s="51" t="s">
        <v>17</v>
      </c>
      <c r="D230" s="43" t="s">
        <v>284</v>
      </c>
      <c r="E230">
        <v>3249.95</v>
      </c>
      <c r="F230">
        <v>208.81</v>
      </c>
      <c r="G230">
        <v>271</v>
      </c>
      <c r="H230">
        <v>17</v>
      </c>
      <c r="I230" t="e">
        <f>ROUND(#REF!/12*3,2)</f>
        <v>#REF!</v>
      </c>
      <c r="J230" t="e">
        <f>ROUND(#REF!/12*3,2)</f>
        <v>#REF!</v>
      </c>
      <c r="M230" s="21">
        <v>850</v>
      </c>
      <c r="N230" s="24">
        <f>158-58</f>
        <v>100</v>
      </c>
      <c r="O230" s="24"/>
      <c r="P230" s="24"/>
      <c r="Q230">
        <v>3250</v>
      </c>
      <c r="R230">
        <v>340</v>
      </c>
      <c r="S230">
        <f t="shared" si="147"/>
        <v>3400</v>
      </c>
      <c r="T230">
        <f t="shared" si="147"/>
        <v>400</v>
      </c>
      <c r="U230" s="23">
        <f t="shared" si="126"/>
        <v>3250</v>
      </c>
      <c r="V230" s="23">
        <f t="shared" si="127"/>
        <v>340</v>
      </c>
    </row>
    <row r="231" spans="1:22" ht="18.75">
      <c r="A231" s="50">
        <v>5</v>
      </c>
      <c r="B231" s="50" t="s">
        <v>285</v>
      </c>
      <c r="C231" s="51" t="s">
        <v>9</v>
      </c>
      <c r="D231" s="43" t="s">
        <v>286</v>
      </c>
      <c r="E231">
        <v>3710.3</v>
      </c>
      <c r="F231">
        <v>3852.5</v>
      </c>
      <c r="G231">
        <v>309</v>
      </c>
      <c r="H231">
        <v>321</v>
      </c>
      <c r="I231" t="e">
        <f>ROUND(#REF!/12*3,2)</f>
        <v>#REF!</v>
      </c>
      <c r="J231" t="e">
        <f>ROUND(#REF!/12*3,2)</f>
        <v>#REF!</v>
      </c>
      <c r="M231" s="24">
        <f>950</f>
        <v>950</v>
      </c>
      <c r="N231" s="24">
        <f>1050-200</f>
        <v>850</v>
      </c>
      <c r="O231" s="24"/>
      <c r="P231" s="24"/>
      <c r="Q231">
        <v>3954.92</v>
      </c>
      <c r="R231">
        <v>3695</v>
      </c>
      <c r="S231">
        <f t="shared" si="147"/>
        <v>3800</v>
      </c>
      <c r="T231">
        <f t="shared" si="147"/>
        <v>3400</v>
      </c>
      <c r="U231" s="23">
        <f t="shared" si="126"/>
        <v>3800</v>
      </c>
      <c r="V231" s="23">
        <f t="shared" si="127"/>
        <v>3400</v>
      </c>
    </row>
    <row r="232" spans="1:22" ht="18.75">
      <c r="A232" s="50">
        <v>6</v>
      </c>
      <c r="B232" s="50" t="s">
        <v>287</v>
      </c>
      <c r="C232" s="51" t="s">
        <v>117</v>
      </c>
      <c r="D232" s="43" t="s">
        <v>288</v>
      </c>
      <c r="E232">
        <v>3685</v>
      </c>
      <c r="F232">
        <v>448.5</v>
      </c>
      <c r="G232">
        <v>307</v>
      </c>
      <c r="H232">
        <v>37</v>
      </c>
      <c r="I232" t="e">
        <f>ROUND(#REF!/12*3,2)</f>
        <v>#REF!</v>
      </c>
      <c r="J232" t="e">
        <f>ROUND(#REF!/12*3,2)</f>
        <v>#REF!</v>
      </c>
      <c r="M232" s="21">
        <v>825</v>
      </c>
      <c r="N232" s="24">
        <f>175-75</f>
        <v>100</v>
      </c>
      <c r="O232" s="24"/>
      <c r="P232" s="24"/>
      <c r="Q232">
        <v>3850</v>
      </c>
      <c r="R232">
        <v>410</v>
      </c>
      <c r="S232">
        <f t="shared" si="147"/>
        <v>3300</v>
      </c>
      <c r="T232">
        <f t="shared" si="147"/>
        <v>400</v>
      </c>
      <c r="U232" s="23">
        <f t="shared" si="126"/>
        <v>3300</v>
      </c>
      <c r="V232" s="23">
        <f t="shared" si="127"/>
        <v>400</v>
      </c>
    </row>
    <row r="233" spans="1:22" ht="18.75">
      <c r="A233" s="47">
        <v>7</v>
      </c>
      <c r="B233" s="47"/>
      <c r="C233" s="48"/>
      <c r="D233" s="49" t="s">
        <v>289</v>
      </c>
      <c r="E233">
        <v>7392</v>
      </c>
      <c r="F233">
        <v>9315</v>
      </c>
      <c r="G233">
        <v>616</v>
      </c>
      <c r="H233">
        <v>776</v>
      </c>
      <c r="I233" t="e">
        <f>ROUND(#REF!/12*3,2)</f>
        <v>#REF!</v>
      </c>
      <c r="J233" t="e">
        <f>ROUND(#REF!/12*3,2)</f>
        <v>#REF!</v>
      </c>
      <c r="M233" s="21">
        <v>1840</v>
      </c>
      <c r="N233" s="24">
        <f>2300-120</f>
        <v>2180</v>
      </c>
      <c r="O233" s="24"/>
      <c r="P233" s="24"/>
      <c r="Q233">
        <v>7350</v>
      </c>
      <c r="R233">
        <v>8400</v>
      </c>
      <c r="S233">
        <f t="shared" si="147"/>
        <v>7360</v>
      </c>
      <c r="T233">
        <f t="shared" si="147"/>
        <v>8720</v>
      </c>
      <c r="U233" s="23">
        <f t="shared" si="126"/>
        <v>7350</v>
      </c>
      <c r="V233" s="23">
        <f t="shared" si="127"/>
        <v>8400</v>
      </c>
    </row>
    <row r="234" spans="1:22" ht="18.75">
      <c r="A234" s="47">
        <v>8</v>
      </c>
      <c r="B234" s="47"/>
      <c r="C234" s="48"/>
      <c r="D234" s="49" t="s">
        <v>290</v>
      </c>
      <c r="E234">
        <v>0</v>
      </c>
      <c r="F234">
        <v>0</v>
      </c>
      <c r="G234">
        <v>0</v>
      </c>
      <c r="H234">
        <v>0</v>
      </c>
      <c r="I234" t="e">
        <f>ROUND(#REF!/12*3,2)</f>
        <v>#REF!</v>
      </c>
      <c r="J234" t="e">
        <f>ROUND(#REF!/12*3,2)</f>
        <v>#REF!</v>
      </c>
      <c r="M234" s="21">
        <v>0</v>
      </c>
      <c r="N234" s="21">
        <v>0</v>
      </c>
      <c r="O234" s="21"/>
      <c r="P234" s="21"/>
      <c r="S234">
        <f t="shared" si="147"/>
        <v>0</v>
      </c>
      <c r="T234">
        <f t="shared" si="147"/>
        <v>0</v>
      </c>
      <c r="U234" s="23">
        <f t="shared" si="126"/>
        <v>0</v>
      </c>
      <c r="V234" s="23">
        <f t="shared" si="127"/>
        <v>0</v>
      </c>
    </row>
    <row r="235" spans="1:22" ht="18.75">
      <c r="A235" s="50"/>
      <c r="B235" s="50" t="s">
        <v>291</v>
      </c>
      <c r="C235" s="51" t="s">
        <v>117</v>
      </c>
      <c r="D235" s="43" t="s">
        <v>289</v>
      </c>
      <c r="E235" s="1">
        <f t="shared" ref="E235:R235" si="148">+E233+E234</f>
        <v>7392</v>
      </c>
      <c r="F235" s="1">
        <f t="shared" si="148"/>
        <v>9315</v>
      </c>
      <c r="G235" s="1">
        <f t="shared" si="148"/>
        <v>616</v>
      </c>
      <c r="H235" s="1">
        <f t="shared" si="148"/>
        <v>776</v>
      </c>
      <c r="I235" s="1" t="e">
        <f t="shared" si="148"/>
        <v>#REF!</v>
      </c>
      <c r="J235" s="13" t="e">
        <f t="shared" si="148"/>
        <v>#REF!</v>
      </c>
      <c r="K235" s="1">
        <f t="shared" si="148"/>
        <v>0</v>
      </c>
      <c r="L235" s="1">
        <f t="shared" si="148"/>
        <v>0</v>
      </c>
      <c r="M235" s="1">
        <f t="shared" si="148"/>
        <v>1840</v>
      </c>
      <c r="N235" s="1">
        <f t="shared" si="148"/>
        <v>2180</v>
      </c>
      <c r="O235" s="1">
        <f t="shared" si="148"/>
        <v>0</v>
      </c>
      <c r="P235" s="1">
        <f t="shared" si="148"/>
        <v>0</v>
      </c>
      <c r="Q235" s="1">
        <f t="shared" si="148"/>
        <v>7350</v>
      </c>
      <c r="R235" s="1">
        <f t="shared" si="148"/>
        <v>8400</v>
      </c>
      <c r="S235" s="1">
        <f t="shared" ref="S235:V235" si="149">+S233+S234</f>
        <v>7360</v>
      </c>
      <c r="T235" s="13">
        <f t="shared" si="149"/>
        <v>8720</v>
      </c>
      <c r="U235" s="34">
        <f t="shared" si="149"/>
        <v>7350</v>
      </c>
      <c r="V235" s="34">
        <f t="shared" si="149"/>
        <v>8400</v>
      </c>
    </row>
    <row r="236" spans="1:22" ht="18.75">
      <c r="A236" s="47">
        <v>9</v>
      </c>
      <c r="B236" s="47"/>
      <c r="C236" s="48"/>
      <c r="D236" s="49" t="s">
        <v>292</v>
      </c>
      <c r="E236">
        <v>1770.7</v>
      </c>
      <c r="F236">
        <v>371.06</v>
      </c>
      <c r="G236">
        <v>148</v>
      </c>
      <c r="H236">
        <v>31</v>
      </c>
      <c r="I236" t="e">
        <f>ROUND(#REF!/12*3,2)</f>
        <v>#REF!</v>
      </c>
      <c r="J236" t="e">
        <f>ROUND(#REF!/12*3,2)</f>
        <v>#REF!</v>
      </c>
      <c r="M236" s="21">
        <v>415</v>
      </c>
      <c r="N236" s="24">
        <f>100-20-0.02</f>
        <v>79.98</v>
      </c>
      <c r="O236" s="24"/>
      <c r="P236" s="24"/>
      <c r="Q236">
        <v>1683.5</v>
      </c>
      <c r="R236">
        <v>200</v>
      </c>
      <c r="S236">
        <f>ROUND(M236/3*12,2)</f>
        <v>1660</v>
      </c>
      <c r="T236">
        <f>ROUND(N236/3*12,2)</f>
        <v>319.92</v>
      </c>
      <c r="U236" s="23">
        <f t="shared" si="126"/>
        <v>1660</v>
      </c>
      <c r="V236" s="23">
        <f t="shared" si="127"/>
        <v>200</v>
      </c>
    </row>
    <row r="237" spans="1:22" ht="18.75">
      <c r="A237" s="47">
        <v>10</v>
      </c>
      <c r="B237" s="47"/>
      <c r="C237" s="48"/>
      <c r="D237" s="49" t="s">
        <v>293</v>
      </c>
      <c r="E237">
        <v>0</v>
      </c>
      <c r="F237">
        <v>0</v>
      </c>
      <c r="G237">
        <v>0</v>
      </c>
      <c r="H237">
        <v>0</v>
      </c>
      <c r="I237" t="e">
        <f>ROUND(#REF!/12*3,2)</f>
        <v>#REF!</v>
      </c>
      <c r="J237" t="e">
        <f>ROUND(#REF!/12*3,2)</f>
        <v>#REF!</v>
      </c>
      <c r="M237" s="21">
        <v>0</v>
      </c>
      <c r="N237" s="21">
        <v>0</v>
      </c>
      <c r="O237" s="21"/>
      <c r="P237" s="21"/>
      <c r="S237">
        <f>ROUND(M237/3*12,2)</f>
        <v>0</v>
      </c>
      <c r="T237">
        <f>ROUND(N237/3*12,2)</f>
        <v>0</v>
      </c>
      <c r="U237" s="23">
        <f t="shared" si="126"/>
        <v>0</v>
      </c>
      <c r="V237" s="23">
        <f t="shared" si="127"/>
        <v>0</v>
      </c>
    </row>
    <row r="238" spans="1:22" ht="18.75">
      <c r="A238" s="50"/>
      <c r="B238" s="50" t="s">
        <v>294</v>
      </c>
      <c r="C238" s="51" t="s">
        <v>36</v>
      </c>
      <c r="D238" s="43" t="s">
        <v>292</v>
      </c>
      <c r="E238" s="1">
        <f t="shared" ref="E238:R238" si="150">+E236+E237</f>
        <v>1770.7</v>
      </c>
      <c r="F238" s="1">
        <f t="shared" si="150"/>
        <v>371.06</v>
      </c>
      <c r="G238" s="1">
        <f t="shared" si="150"/>
        <v>148</v>
      </c>
      <c r="H238" s="1">
        <f t="shared" si="150"/>
        <v>31</v>
      </c>
      <c r="I238" s="1" t="e">
        <f t="shared" si="150"/>
        <v>#REF!</v>
      </c>
      <c r="J238" s="13" t="e">
        <f t="shared" si="150"/>
        <v>#REF!</v>
      </c>
      <c r="K238" s="1">
        <f t="shared" si="150"/>
        <v>0</v>
      </c>
      <c r="L238" s="1">
        <f t="shared" si="150"/>
        <v>0</v>
      </c>
      <c r="M238" s="1">
        <f t="shared" si="150"/>
        <v>415</v>
      </c>
      <c r="N238" s="1">
        <f t="shared" si="150"/>
        <v>79.98</v>
      </c>
      <c r="O238" s="1">
        <f t="shared" si="150"/>
        <v>0</v>
      </c>
      <c r="P238" s="1">
        <f t="shared" si="150"/>
        <v>0</v>
      </c>
      <c r="Q238" s="1">
        <f t="shared" si="150"/>
        <v>1683.5</v>
      </c>
      <c r="R238" s="1">
        <f t="shared" si="150"/>
        <v>200</v>
      </c>
      <c r="S238" s="1">
        <f t="shared" ref="S238:V238" si="151">+S236+S237</f>
        <v>1660</v>
      </c>
      <c r="T238" s="13">
        <f t="shared" si="151"/>
        <v>319.92</v>
      </c>
      <c r="U238" s="34">
        <f t="shared" si="151"/>
        <v>1660</v>
      </c>
      <c r="V238" s="34">
        <f t="shared" si="151"/>
        <v>200</v>
      </c>
    </row>
    <row r="239" spans="1:22" ht="37.5">
      <c r="A239" s="50">
        <v>11</v>
      </c>
      <c r="B239" s="50" t="s">
        <v>295</v>
      </c>
      <c r="C239" s="51" t="s">
        <v>223</v>
      </c>
      <c r="D239" s="43" t="s">
        <v>296</v>
      </c>
      <c r="E239">
        <v>862.4</v>
      </c>
      <c r="F239">
        <v>32.49</v>
      </c>
      <c r="G239">
        <v>72</v>
      </c>
      <c r="H239">
        <v>3</v>
      </c>
      <c r="I239" t="e">
        <f>ROUND(#REF!/12*3,2)</f>
        <v>#REF!</v>
      </c>
      <c r="J239" t="e">
        <f>ROUND(#REF!/12*3,2)</f>
        <v>#REF!</v>
      </c>
      <c r="M239" s="21">
        <v>209</v>
      </c>
      <c r="N239" s="21">
        <v>0</v>
      </c>
      <c r="O239" s="21"/>
      <c r="P239" s="21"/>
      <c r="Q239">
        <v>760</v>
      </c>
      <c r="R239">
        <v>40</v>
      </c>
      <c r="S239">
        <f>ROUND(M239/3*12,2)</f>
        <v>836</v>
      </c>
      <c r="T239">
        <f>ROUND(N239/3*12,2)+40</f>
        <v>40</v>
      </c>
      <c r="U239" s="23">
        <f t="shared" si="126"/>
        <v>760</v>
      </c>
      <c r="V239" s="23">
        <f t="shared" si="127"/>
        <v>40</v>
      </c>
    </row>
    <row r="240" spans="1:22" ht="18.75">
      <c r="A240" s="50"/>
      <c r="B240" s="50"/>
      <c r="C240" s="51"/>
      <c r="D240" s="43" t="s">
        <v>297</v>
      </c>
      <c r="E240" s="4">
        <f t="shared" ref="E240:R240" si="152">+E239+E238+E235+E232+E231+E230+E229+E228</f>
        <v>26501.47</v>
      </c>
      <c r="F240" s="4">
        <f t="shared" si="152"/>
        <v>25379.589999999997</v>
      </c>
      <c r="G240" s="4">
        <f t="shared" si="152"/>
        <v>2209</v>
      </c>
      <c r="H240" s="4">
        <f t="shared" si="152"/>
        <v>2114</v>
      </c>
      <c r="I240" s="4" t="e">
        <f t="shared" si="152"/>
        <v>#REF!</v>
      </c>
      <c r="J240" s="18" t="e">
        <f t="shared" si="152"/>
        <v>#REF!</v>
      </c>
      <c r="K240" s="4">
        <f t="shared" si="152"/>
        <v>0</v>
      </c>
      <c r="L240" s="4">
        <f t="shared" si="152"/>
        <v>0</v>
      </c>
      <c r="M240" s="4">
        <f t="shared" si="152"/>
        <v>6526</v>
      </c>
      <c r="N240" s="4">
        <f t="shared" si="152"/>
        <v>6127.98</v>
      </c>
      <c r="O240" s="4">
        <f t="shared" si="152"/>
        <v>0</v>
      </c>
      <c r="P240" s="4">
        <f t="shared" si="152"/>
        <v>0</v>
      </c>
      <c r="Q240" s="4">
        <f t="shared" si="152"/>
        <v>26368.42</v>
      </c>
      <c r="R240" s="4">
        <f t="shared" si="152"/>
        <v>22785</v>
      </c>
      <c r="S240" s="4">
        <f t="shared" ref="S240:V240" si="153">+S239+S238+S235+S232+S231+S230+S229+S228</f>
        <v>26104</v>
      </c>
      <c r="T240" s="18">
        <f t="shared" si="153"/>
        <v>24551.919999999998</v>
      </c>
      <c r="U240" s="35">
        <f t="shared" si="153"/>
        <v>25640</v>
      </c>
      <c r="V240" s="35">
        <f t="shared" si="153"/>
        <v>22480</v>
      </c>
    </row>
    <row r="241" spans="1:22" ht="18.75">
      <c r="A241" s="47">
        <v>1</v>
      </c>
      <c r="B241" s="47"/>
      <c r="C241" s="48"/>
      <c r="D241" s="49" t="s">
        <v>298</v>
      </c>
      <c r="E241">
        <v>3532.1</v>
      </c>
      <c r="F241">
        <v>3382.29</v>
      </c>
      <c r="G241">
        <v>294</v>
      </c>
      <c r="H241">
        <v>282</v>
      </c>
      <c r="I241" t="e">
        <f>ROUND(#REF!/12*3,2)</f>
        <v>#REF!</v>
      </c>
      <c r="J241" t="e">
        <f>ROUND(#REF!/12*3,2)</f>
        <v>#REF!</v>
      </c>
      <c r="M241" s="21">
        <v>735</v>
      </c>
      <c r="N241" s="24">
        <f>606.5-56.5</f>
        <v>550</v>
      </c>
      <c r="O241" s="24"/>
      <c r="P241" s="24"/>
      <c r="Q241">
        <v>3390</v>
      </c>
      <c r="R241">
        <v>2800</v>
      </c>
      <c r="S241">
        <f t="shared" ref="S241:T247" si="154">ROUND(M241/3*12,2)</f>
        <v>2940</v>
      </c>
      <c r="T241">
        <f t="shared" si="154"/>
        <v>2200</v>
      </c>
      <c r="U241" s="23">
        <f t="shared" si="126"/>
        <v>2940</v>
      </c>
      <c r="V241" s="23">
        <f t="shared" si="127"/>
        <v>2200</v>
      </c>
    </row>
    <row r="242" spans="1:22" ht="18.75">
      <c r="A242" s="47">
        <v>2</v>
      </c>
      <c r="B242" s="47"/>
      <c r="C242" s="48"/>
      <c r="D242" s="49" t="s">
        <v>299</v>
      </c>
      <c r="E242">
        <v>1254.94</v>
      </c>
      <c r="F242">
        <v>0</v>
      </c>
      <c r="G242">
        <v>105</v>
      </c>
      <c r="H242">
        <v>0</v>
      </c>
      <c r="I242" t="e">
        <f>ROUND(#REF!/12*3,2)</f>
        <v>#REF!</v>
      </c>
      <c r="J242" t="e">
        <f>ROUND(#REF!/12*3,2)</f>
        <v>#REF!</v>
      </c>
      <c r="M242" s="24">
        <f>345-25</f>
        <v>320</v>
      </c>
      <c r="N242" s="21">
        <v>0</v>
      </c>
      <c r="O242" s="21"/>
      <c r="P242" s="21"/>
      <c r="Q242">
        <v>1254.94</v>
      </c>
      <c r="S242">
        <f t="shared" si="154"/>
        <v>1280</v>
      </c>
      <c r="T242">
        <f t="shared" si="154"/>
        <v>0</v>
      </c>
      <c r="U242" s="23">
        <f t="shared" si="126"/>
        <v>1254.94</v>
      </c>
      <c r="V242" s="23">
        <f t="shared" si="127"/>
        <v>0</v>
      </c>
    </row>
    <row r="243" spans="1:22" ht="18.75">
      <c r="A243" s="47">
        <v>3</v>
      </c>
      <c r="B243" s="47"/>
      <c r="C243" s="48"/>
      <c r="D243" s="49" t="s">
        <v>300</v>
      </c>
      <c r="E243">
        <v>373.53</v>
      </c>
      <c r="F243">
        <v>0</v>
      </c>
      <c r="G243">
        <v>31</v>
      </c>
      <c r="H243">
        <v>0</v>
      </c>
      <c r="I243" t="e">
        <f>ROUND(#REF!/12*3,2)</f>
        <v>#REF!</v>
      </c>
      <c r="J243" t="e">
        <f>ROUND(#REF!/12*3,2)</f>
        <v>#REF!</v>
      </c>
      <c r="M243" s="21">
        <v>90</v>
      </c>
      <c r="N243" s="21">
        <v>0</v>
      </c>
      <c r="O243" s="21"/>
      <c r="P243" s="21"/>
      <c r="Q243">
        <v>391.66</v>
      </c>
      <c r="S243">
        <f t="shared" si="154"/>
        <v>360</v>
      </c>
      <c r="T243">
        <f t="shared" si="154"/>
        <v>0</v>
      </c>
      <c r="U243" s="23">
        <f t="shared" si="126"/>
        <v>360</v>
      </c>
      <c r="V243" s="23">
        <f t="shared" si="127"/>
        <v>0</v>
      </c>
    </row>
    <row r="244" spans="1:22" ht="18.75">
      <c r="A244" s="47">
        <v>4</v>
      </c>
      <c r="B244" s="47"/>
      <c r="C244" s="48"/>
      <c r="D244" s="49" t="s">
        <v>301</v>
      </c>
      <c r="E244">
        <v>991.95</v>
      </c>
      <c r="F244">
        <v>0</v>
      </c>
      <c r="G244">
        <v>83</v>
      </c>
      <c r="H244">
        <v>0</v>
      </c>
      <c r="I244" t="e">
        <f>ROUND(#REF!/12*3,2)</f>
        <v>#REF!</v>
      </c>
      <c r="J244" t="e">
        <f>ROUND(#REF!/12*3,2)</f>
        <v>#REF!</v>
      </c>
      <c r="M244" s="24">
        <f>370-70-50</f>
        <v>250</v>
      </c>
      <c r="N244" s="21">
        <v>0</v>
      </c>
      <c r="O244" s="21"/>
      <c r="P244" s="21"/>
      <c r="Q244">
        <v>1033.21</v>
      </c>
      <c r="S244">
        <f t="shared" si="154"/>
        <v>1000</v>
      </c>
      <c r="T244">
        <f t="shared" si="154"/>
        <v>0</v>
      </c>
      <c r="U244" s="23">
        <f t="shared" si="126"/>
        <v>1000</v>
      </c>
      <c r="V244" s="23">
        <f t="shared" si="127"/>
        <v>0</v>
      </c>
    </row>
    <row r="245" spans="1:22" ht="18.75">
      <c r="A245" s="47">
        <v>5</v>
      </c>
      <c r="B245" s="47"/>
      <c r="C245" s="48"/>
      <c r="D245" s="49" t="s">
        <v>302</v>
      </c>
      <c r="E245">
        <v>453.07</v>
      </c>
      <c r="F245">
        <v>0</v>
      </c>
      <c r="G245">
        <v>38</v>
      </c>
      <c r="H245">
        <v>0</v>
      </c>
      <c r="I245" t="e">
        <f>ROUND(#REF!/12*3,2)</f>
        <v>#REF!</v>
      </c>
      <c r="J245" t="e">
        <f>ROUND(#REF!/12*3,2)</f>
        <v>#REF!</v>
      </c>
      <c r="M245" s="21">
        <v>120</v>
      </c>
      <c r="N245" s="21">
        <v>0</v>
      </c>
      <c r="O245" s="21"/>
      <c r="P245" s="21"/>
      <c r="Q245">
        <v>446.35</v>
      </c>
      <c r="S245">
        <f t="shared" si="154"/>
        <v>480</v>
      </c>
      <c r="T245">
        <f t="shared" si="154"/>
        <v>0</v>
      </c>
      <c r="U245" s="23">
        <f t="shared" si="126"/>
        <v>446.35</v>
      </c>
      <c r="V245" s="23">
        <f t="shared" si="127"/>
        <v>0</v>
      </c>
    </row>
    <row r="246" spans="1:22" ht="18.75">
      <c r="A246" s="47">
        <v>6</v>
      </c>
      <c r="B246" s="47"/>
      <c r="C246" s="48"/>
      <c r="D246" s="49" t="s">
        <v>303</v>
      </c>
      <c r="E246">
        <v>0</v>
      </c>
      <c r="F246">
        <v>0</v>
      </c>
      <c r="G246">
        <v>0</v>
      </c>
      <c r="H246">
        <v>0</v>
      </c>
      <c r="I246" t="e">
        <f>ROUND(#REF!/12*3,2)</f>
        <v>#REF!</v>
      </c>
      <c r="J246" t="e">
        <f>ROUND(#REF!/12*3,2)</f>
        <v>#REF!</v>
      </c>
      <c r="M246" s="21">
        <v>0</v>
      </c>
      <c r="N246" s="21">
        <v>0</v>
      </c>
      <c r="O246" s="21"/>
      <c r="P246" s="21"/>
      <c r="S246">
        <f t="shared" si="154"/>
        <v>0</v>
      </c>
      <c r="T246">
        <f t="shared" si="154"/>
        <v>0</v>
      </c>
      <c r="U246" s="23">
        <f t="shared" si="126"/>
        <v>0</v>
      </c>
      <c r="V246" s="23">
        <f t="shared" si="127"/>
        <v>0</v>
      </c>
    </row>
    <row r="247" spans="1:22" ht="18.75">
      <c r="A247" s="47">
        <v>7</v>
      </c>
      <c r="B247" s="47"/>
      <c r="C247" s="48"/>
      <c r="D247" s="49" t="s">
        <v>304</v>
      </c>
      <c r="E247">
        <v>0</v>
      </c>
      <c r="F247">
        <v>0</v>
      </c>
      <c r="G247">
        <v>0</v>
      </c>
      <c r="H247">
        <v>0</v>
      </c>
      <c r="I247" t="e">
        <f>ROUND(#REF!/12*3,2)</f>
        <v>#REF!</v>
      </c>
      <c r="J247" t="e">
        <f>ROUND(#REF!/12*3,2)</f>
        <v>#REF!</v>
      </c>
      <c r="M247" s="21">
        <v>0</v>
      </c>
      <c r="N247" s="21">
        <v>0</v>
      </c>
      <c r="O247" s="21"/>
      <c r="P247" s="21"/>
      <c r="S247">
        <f t="shared" si="154"/>
        <v>0</v>
      </c>
      <c r="T247">
        <f t="shared" si="154"/>
        <v>0</v>
      </c>
      <c r="U247" s="23">
        <f t="shared" si="126"/>
        <v>0</v>
      </c>
      <c r="V247" s="23">
        <f t="shared" si="127"/>
        <v>0</v>
      </c>
    </row>
    <row r="248" spans="1:22" ht="18.75">
      <c r="A248" s="50"/>
      <c r="B248" s="50" t="s">
        <v>305</v>
      </c>
      <c r="C248" s="51" t="s">
        <v>73</v>
      </c>
      <c r="D248" s="43" t="s">
        <v>298</v>
      </c>
      <c r="E248" s="5">
        <f t="shared" ref="E248:Q248" si="155">+E241+E242+E243+E244+E245+E246+E247</f>
        <v>6605.5899999999992</v>
      </c>
      <c r="F248" s="5">
        <f t="shared" si="155"/>
        <v>3382.29</v>
      </c>
      <c r="G248" s="5">
        <f t="shared" si="155"/>
        <v>551</v>
      </c>
      <c r="H248" s="5">
        <f t="shared" si="155"/>
        <v>282</v>
      </c>
      <c r="I248" s="5" t="e">
        <f t="shared" si="155"/>
        <v>#REF!</v>
      </c>
      <c r="J248" s="19" t="e">
        <f t="shared" si="155"/>
        <v>#REF!</v>
      </c>
      <c r="K248" s="5">
        <f t="shared" si="155"/>
        <v>0</v>
      </c>
      <c r="L248" s="5">
        <f t="shared" si="155"/>
        <v>0</v>
      </c>
      <c r="M248" s="5">
        <f t="shared" si="155"/>
        <v>1515</v>
      </c>
      <c r="N248" s="5">
        <f t="shared" si="155"/>
        <v>550</v>
      </c>
      <c r="O248" s="5">
        <f t="shared" si="155"/>
        <v>0</v>
      </c>
      <c r="P248" s="5">
        <f t="shared" si="155"/>
        <v>0</v>
      </c>
      <c r="Q248" s="5">
        <f t="shared" si="155"/>
        <v>6516.1600000000008</v>
      </c>
      <c r="R248" s="5">
        <f t="shared" ref="R248:V248" si="156">+R241+R242+R243+R244+R245+R246+R247</f>
        <v>2800</v>
      </c>
      <c r="S248" s="5">
        <f t="shared" si="156"/>
        <v>6060</v>
      </c>
      <c r="T248" s="19">
        <f t="shared" si="156"/>
        <v>2200</v>
      </c>
      <c r="U248" s="36">
        <f t="shared" si="156"/>
        <v>6001.2900000000009</v>
      </c>
      <c r="V248" s="36">
        <f t="shared" si="156"/>
        <v>2200</v>
      </c>
    </row>
    <row r="249" spans="1:22" ht="18.75">
      <c r="A249" s="47">
        <v>8</v>
      </c>
      <c r="B249" s="47"/>
      <c r="C249" s="48"/>
      <c r="D249" s="49" t="s">
        <v>306</v>
      </c>
      <c r="E249">
        <v>1278.78</v>
      </c>
      <c r="F249">
        <v>6.6</v>
      </c>
      <c r="G249">
        <v>107</v>
      </c>
      <c r="H249">
        <v>1</v>
      </c>
      <c r="I249" t="e">
        <f>ROUND(#REF!/12*3,2)</f>
        <v>#REF!</v>
      </c>
      <c r="J249" t="e">
        <f>ROUND(#REF!/12*3,2)</f>
        <v>#REF!</v>
      </c>
      <c r="M249" s="21">
        <v>340</v>
      </c>
      <c r="N249" s="21">
        <v>1</v>
      </c>
      <c r="O249" s="21"/>
      <c r="P249" s="21"/>
      <c r="Q249">
        <v>1400</v>
      </c>
      <c r="R249">
        <v>3</v>
      </c>
      <c r="S249">
        <f t="shared" ref="S249:T252" si="157">ROUND(M249/3*12,2)</f>
        <v>1360</v>
      </c>
      <c r="T249">
        <f t="shared" si="157"/>
        <v>4</v>
      </c>
      <c r="U249" s="23">
        <f t="shared" si="126"/>
        <v>1360</v>
      </c>
      <c r="V249" s="23">
        <f t="shared" si="127"/>
        <v>3</v>
      </c>
    </row>
    <row r="250" spans="1:22" ht="18.75">
      <c r="A250" s="47">
        <v>9</v>
      </c>
      <c r="B250" s="47"/>
      <c r="C250" s="48"/>
      <c r="D250" s="49" t="s">
        <v>307</v>
      </c>
      <c r="E250">
        <v>282.58999999999997</v>
      </c>
      <c r="F250">
        <v>0</v>
      </c>
      <c r="G250">
        <v>24</v>
      </c>
      <c r="H250">
        <v>0</v>
      </c>
      <c r="I250" t="e">
        <f>ROUND(#REF!/12*3,2)</f>
        <v>#REF!</v>
      </c>
      <c r="J250" t="e">
        <f>ROUND(#REF!/12*3,2)</f>
        <v>#REF!</v>
      </c>
      <c r="M250" s="21">
        <f>75</f>
        <v>75</v>
      </c>
      <c r="N250" s="21">
        <v>0</v>
      </c>
      <c r="O250" s="21"/>
      <c r="P250" s="21"/>
      <c r="Q250">
        <v>302.39999999999998</v>
      </c>
      <c r="S250">
        <f t="shared" si="157"/>
        <v>300</v>
      </c>
      <c r="T250">
        <f t="shared" si="157"/>
        <v>0</v>
      </c>
      <c r="U250" s="23">
        <f t="shared" si="126"/>
        <v>300</v>
      </c>
      <c r="V250" s="23">
        <f t="shared" si="127"/>
        <v>0</v>
      </c>
    </row>
    <row r="251" spans="1:22" ht="18.75">
      <c r="A251" s="47">
        <v>10</v>
      </c>
      <c r="B251" s="47"/>
      <c r="C251" s="48"/>
      <c r="D251" s="49" t="s">
        <v>308</v>
      </c>
      <c r="E251">
        <v>2227.7199999999998</v>
      </c>
      <c r="F251">
        <v>0</v>
      </c>
      <c r="G251">
        <v>186</v>
      </c>
      <c r="H251">
        <v>0</v>
      </c>
      <c r="I251" t="e">
        <f>ROUND(#REF!/12*3,2)</f>
        <v>#REF!</v>
      </c>
      <c r="J251" t="e">
        <f>ROUND(#REF!/12*3,2)</f>
        <v>#REF!</v>
      </c>
      <c r="M251" s="24">
        <f>582.25-30</f>
        <v>552.25</v>
      </c>
      <c r="N251" s="21">
        <v>0</v>
      </c>
      <c r="O251" s="21"/>
      <c r="P251" s="21"/>
      <c r="Q251">
        <v>3338.2400000000002</v>
      </c>
      <c r="S251">
        <f t="shared" si="157"/>
        <v>2209</v>
      </c>
      <c r="T251">
        <f t="shared" si="157"/>
        <v>0</v>
      </c>
      <c r="U251" s="23">
        <f t="shared" si="126"/>
        <v>2209</v>
      </c>
      <c r="V251" s="23">
        <f t="shared" si="127"/>
        <v>0</v>
      </c>
    </row>
    <row r="252" spans="1:22" ht="18.75">
      <c r="A252" s="47">
        <v>11</v>
      </c>
      <c r="B252" s="47"/>
      <c r="C252" s="48"/>
      <c r="D252" s="49" t="s">
        <v>309</v>
      </c>
      <c r="E252">
        <v>0</v>
      </c>
      <c r="F252">
        <v>0</v>
      </c>
      <c r="G252">
        <v>0</v>
      </c>
      <c r="H252">
        <v>0</v>
      </c>
      <c r="I252" t="e">
        <f>ROUND(#REF!/12*3,2)</f>
        <v>#REF!</v>
      </c>
      <c r="J252" t="e">
        <f>ROUND(#REF!/12*3,2)</f>
        <v>#REF!</v>
      </c>
      <c r="M252" s="21">
        <v>0</v>
      </c>
      <c r="N252" s="21">
        <v>0</v>
      </c>
      <c r="O252" s="21"/>
      <c r="P252" s="21"/>
      <c r="S252">
        <f t="shared" si="157"/>
        <v>0</v>
      </c>
      <c r="T252">
        <f t="shared" si="157"/>
        <v>0</v>
      </c>
      <c r="U252" s="23">
        <f t="shared" si="126"/>
        <v>0</v>
      </c>
      <c r="V252" s="23">
        <f t="shared" si="127"/>
        <v>0</v>
      </c>
    </row>
    <row r="253" spans="1:22" ht="18.75">
      <c r="A253" s="50">
        <f>SNL10</f>
        <v>0</v>
      </c>
      <c r="B253" s="50" t="s">
        <v>310</v>
      </c>
      <c r="C253" s="51" t="s">
        <v>81</v>
      </c>
      <c r="D253" s="43" t="s">
        <v>306</v>
      </c>
      <c r="E253" s="5">
        <f t="shared" ref="E253:R253" si="158">+E249+E250+E251+E252</f>
        <v>3789.0899999999997</v>
      </c>
      <c r="F253" s="5">
        <f t="shared" si="158"/>
        <v>6.6</v>
      </c>
      <c r="G253" s="5">
        <f t="shared" si="158"/>
        <v>317</v>
      </c>
      <c r="H253" s="5">
        <f t="shared" si="158"/>
        <v>1</v>
      </c>
      <c r="I253" s="5" t="e">
        <f t="shared" si="158"/>
        <v>#REF!</v>
      </c>
      <c r="J253" s="19" t="e">
        <f t="shared" si="158"/>
        <v>#REF!</v>
      </c>
      <c r="K253" s="5">
        <f t="shared" si="158"/>
        <v>0</v>
      </c>
      <c r="L253" s="5">
        <f t="shared" si="158"/>
        <v>0</v>
      </c>
      <c r="M253" s="5">
        <f t="shared" si="158"/>
        <v>967.25</v>
      </c>
      <c r="N253" s="5">
        <f t="shared" si="158"/>
        <v>1</v>
      </c>
      <c r="O253" s="5">
        <f t="shared" si="158"/>
        <v>0</v>
      </c>
      <c r="P253" s="5">
        <f t="shared" si="158"/>
        <v>0</v>
      </c>
      <c r="Q253" s="5">
        <f t="shared" si="158"/>
        <v>5040.6400000000003</v>
      </c>
      <c r="R253" s="5">
        <f t="shared" si="158"/>
        <v>3</v>
      </c>
      <c r="S253" s="5">
        <f t="shared" ref="S253:V253" si="159">+S249+S250+S251+S252</f>
        <v>3869</v>
      </c>
      <c r="T253" s="19">
        <f t="shared" si="159"/>
        <v>4</v>
      </c>
      <c r="U253" s="36">
        <f t="shared" si="159"/>
        <v>3869</v>
      </c>
      <c r="V253" s="36">
        <f t="shared" si="159"/>
        <v>3</v>
      </c>
    </row>
    <row r="254" spans="1:22" ht="18.75">
      <c r="A254" s="47">
        <v>13</v>
      </c>
      <c r="B254" s="47"/>
      <c r="C254" s="48"/>
      <c r="D254" s="49" t="s">
        <v>311</v>
      </c>
      <c r="E254">
        <v>2075.81</v>
      </c>
      <c r="F254">
        <v>297.85000000000002</v>
      </c>
      <c r="G254">
        <v>173</v>
      </c>
      <c r="H254">
        <v>25</v>
      </c>
      <c r="I254" t="e">
        <f>ROUND(#REF!/12*3,2)</f>
        <v>#REF!</v>
      </c>
      <c r="J254" t="e">
        <f>ROUND(#REF!/12*3,2)</f>
        <v>#REF!</v>
      </c>
      <c r="M254" s="24">
        <f>572.5-50</f>
        <v>522.5</v>
      </c>
      <c r="N254" s="24">
        <f>273.7-173.7-20</f>
        <v>80</v>
      </c>
      <c r="O254" s="24">
        <v>50</v>
      </c>
      <c r="P254" s="24">
        <v>193.7</v>
      </c>
      <c r="Q254">
        <v>1975.1</v>
      </c>
      <c r="R254">
        <v>615</v>
      </c>
      <c r="S254">
        <f>ROUND(M254/3*12,2)</f>
        <v>2090</v>
      </c>
      <c r="T254">
        <f>ROUND(N254/3*12,2)</f>
        <v>320</v>
      </c>
      <c r="U254" s="23">
        <f t="shared" si="126"/>
        <v>1975.1</v>
      </c>
      <c r="V254" s="23">
        <f t="shared" si="127"/>
        <v>320</v>
      </c>
    </row>
    <row r="255" spans="1:22" ht="18.75">
      <c r="A255" s="47">
        <v>14</v>
      </c>
      <c r="B255" s="47"/>
      <c r="C255" s="48"/>
      <c r="D255" s="49" t="s">
        <v>312</v>
      </c>
      <c r="E255">
        <v>0</v>
      </c>
      <c r="F255">
        <v>0</v>
      </c>
      <c r="G255">
        <v>0</v>
      </c>
      <c r="H255">
        <v>0</v>
      </c>
      <c r="I255" t="e">
        <f>ROUND(#REF!/12*3,2)</f>
        <v>#REF!</v>
      </c>
      <c r="J255" t="e">
        <f>ROUND(#REF!/12*3,2)</f>
        <v>#REF!</v>
      </c>
      <c r="M255" s="21">
        <v>0</v>
      </c>
      <c r="N255" s="21">
        <v>0</v>
      </c>
      <c r="O255" s="21"/>
      <c r="P255" s="21"/>
      <c r="S255">
        <f>ROUND(M255/3*12,2)</f>
        <v>0</v>
      </c>
      <c r="T255">
        <f>ROUND(N255/3*12,2)</f>
        <v>0</v>
      </c>
      <c r="U255" s="23">
        <f t="shared" si="126"/>
        <v>0</v>
      </c>
      <c r="V255" s="23">
        <f t="shared" si="127"/>
        <v>0</v>
      </c>
    </row>
    <row r="256" spans="1:22" ht="18.75">
      <c r="A256" s="50"/>
      <c r="B256" s="50" t="s">
        <v>313</v>
      </c>
      <c r="C256" s="51" t="s">
        <v>9</v>
      </c>
      <c r="D256" s="43" t="s">
        <v>311</v>
      </c>
      <c r="E256" s="5">
        <f t="shared" ref="E256:H256" si="160">+E254+E255</f>
        <v>2075.81</v>
      </c>
      <c r="F256" s="5">
        <f t="shared" si="160"/>
        <v>297.85000000000002</v>
      </c>
      <c r="G256" s="5">
        <f t="shared" si="160"/>
        <v>173</v>
      </c>
      <c r="H256" s="5">
        <f t="shared" si="160"/>
        <v>25</v>
      </c>
      <c r="I256" s="5" t="e">
        <f t="shared" ref="I256" si="161">+I254+I255</f>
        <v>#REF!</v>
      </c>
      <c r="J256" s="19" t="e">
        <f t="shared" ref="J256" si="162">+J254+J255</f>
        <v>#REF!</v>
      </c>
      <c r="K256" s="5">
        <f t="shared" ref="K256" si="163">+K254+K255</f>
        <v>0</v>
      </c>
      <c r="L256" s="5">
        <f t="shared" ref="L256" si="164">+L254+L255</f>
        <v>0</v>
      </c>
      <c r="M256" s="5">
        <f t="shared" ref="M256" si="165">+M254+M255</f>
        <v>522.5</v>
      </c>
      <c r="N256" s="5">
        <f t="shared" ref="N256:V256" si="166">+N254+N255</f>
        <v>80</v>
      </c>
      <c r="O256" s="5">
        <f t="shared" si="166"/>
        <v>50</v>
      </c>
      <c r="P256" s="5">
        <f t="shared" si="166"/>
        <v>193.7</v>
      </c>
      <c r="Q256" s="5">
        <f t="shared" si="166"/>
        <v>1975.1</v>
      </c>
      <c r="R256" s="5">
        <f t="shared" si="166"/>
        <v>615</v>
      </c>
      <c r="S256" s="5">
        <f t="shared" si="166"/>
        <v>2090</v>
      </c>
      <c r="T256" s="19">
        <f t="shared" si="166"/>
        <v>320</v>
      </c>
      <c r="U256" s="36">
        <f t="shared" si="166"/>
        <v>1975.1</v>
      </c>
      <c r="V256" s="36">
        <f t="shared" si="166"/>
        <v>320</v>
      </c>
    </row>
    <row r="257" spans="1:22" ht="18.75">
      <c r="A257" s="47">
        <v>15</v>
      </c>
      <c r="B257" s="47"/>
      <c r="C257" s="48"/>
      <c r="D257" s="49" t="s">
        <v>314</v>
      </c>
      <c r="E257">
        <v>1438.92</v>
      </c>
      <c r="F257">
        <v>426.96</v>
      </c>
      <c r="G257">
        <v>120</v>
      </c>
      <c r="H257">
        <v>36</v>
      </c>
      <c r="I257" t="e">
        <f>ROUND(#REF!/12*3,2)</f>
        <v>#REF!</v>
      </c>
      <c r="J257" t="e">
        <f>ROUND(#REF!/12*3,2)</f>
        <v>#REF!</v>
      </c>
      <c r="M257" s="21">
        <v>350</v>
      </c>
      <c r="N257" s="21">
        <v>75</v>
      </c>
      <c r="O257" s="21"/>
      <c r="P257" s="21"/>
      <c r="Q257">
        <v>1520.98</v>
      </c>
      <c r="R257">
        <v>269.7</v>
      </c>
      <c r="S257">
        <f t="shared" ref="S257:T259" si="167">ROUND(M257/3*12,2)</f>
        <v>1400</v>
      </c>
      <c r="T257">
        <f t="shared" si="167"/>
        <v>300</v>
      </c>
      <c r="U257" s="23">
        <f t="shared" si="126"/>
        <v>1400</v>
      </c>
      <c r="V257" s="23">
        <f t="shared" si="127"/>
        <v>269.7</v>
      </c>
    </row>
    <row r="258" spans="1:22" ht="18.75">
      <c r="A258" s="47">
        <v>16</v>
      </c>
      <c r="B258" s="47"/>
      <c r="C258" s="48"/>
      <c r="D258" s="49" t="s">
        <v>315</v>
      </c>
      <c r="E258">
        <v>0</v>
      </c>
      <c r="F258">
        <v>0</v>
      </c>
      <c r="G258">
        <v>0</v>
      </c>
      <c r="H258">
        <v>0</v>
      </c>
      <c r="I258" t="e">
        <f>ROUND(#REF!/12*3,2)</f>
        <v>#REF!</v>
      </c>
      <c r="J258" t="e">
        <f>ROUND(#REF!/12*3,2)</f>
        <v>#REF!</v>
      </c>
      <c r="M258" s="21">
        <v>0</v>
      </c>
      <c r="N258" s="21">
        <v>0</v>
      </c>
      <c r="O258" s="21"/>
      <c r="P258" s="21"/>
      <c r="S258">
        <f t="shared" si="167"/>
        <v>0</v>
      </c>
      <c r="T258">
        <f t="shared" si="167"/>
        <v>0</v>
      </c>
      <c r="U258" s="23">
        <f t="shared" si="126"/>
        <v>0</v>
      </c>
      <c r="V258" s="23">
        <f t="shared" si="127"/>
        <v>0</v>
      </c>
    </row>
    <row r="259" spans="1:22" ht="18.75">
      <c r="A259" s="47">
        <v>17</v>
      </c>
      <c r="B259" s="47"/>
      <c r="C259" s="48"/>
      <c r="D259" s="49" t="s">
        <v>316</v>
      </c>
      <c r="E259">
        <v>0</v>
      </c>
      <c r="F259">
        <v>0</v>
      </c>
      <c r="G259">
        <v>0</v>
      </c>
      <c r="H259">
        <v>0</v>
      </c>
      <c r="I259" t="e">
        <f>ROUND(#REF!/12*3,2)</f>
        <v>#REF!</v>
      </c>
      <c r="J259" t="e">
        <f>ROUND(#REF!/12*3,2)</f>
        <v>#REF!</v>
      </c>
      <c r="M259" s="21">
        <v>0</v>
      </c>
      <c r="N259" s="21">
        <v>0</v>
      </c>
      <c r="O259" s="21"/>
      <c r="P259" s="21"/>
      <c r="S259">
        <f t="shared" si="167"/>
        <v>0</v>
      </c>
      <c r="T259">
        <f t="shared" si="167"/>
        <v>0</v>
      </c>
      <c r="U259" s="23">
        <f t="shared" si="126"/>
        <v>0</v>
      </c>
      <c r="V259" s="23">
        <f t="shared" si="127"/>
        <v>0</v>
      </c>
    </row>
    <row r="260" spans="1:22" ht="18.75">
      <c r="A260" s="50"/>
      <c r="B260" s="50" t="s">
        <v>317</v>
      </c>
      <c r="C260" s="51" t="s">
        <v>318</v>
      </c>
      <c r="D260" s="43" t="s">
        <v>314</v>
      </c>
      <c r="E260" s="1">
        <f t="shared" ref="E260:R260" si="168">+E257+E258+E259</f>
        <v>1438.92</v>
      </c>
      <c r="F260" s="1">
        <f t="shared" si="168"/>
        <v>426.96</v>
      </c>
      <c r="G260" s="1">
        <f t="shared" si="168"/>
        <v>120</v>
      </c>
      <c r="H260" s="1">
        <f t="shared" si="168"/>
        <v>36</v>
      </c>
      <c r="I260" s="1" t="e">
        <f t="shared" si="168"/>
        <v>#REF!</v>
      </c>
      <c r="J260" s="13" t="e">
        <f t="shared" si="168"/>
        <v>#REF!</v>
      </c>
      <c r="K260" s="1">
        <f t="shared" si="168"/>
        <v>0</v>
      </c>
      <c r="L260" s="1">
        <f t="shared" si="168"/>
        <v>0</v>
      </c>
      <c r="M260" s="1">
        <f t="shared" si="168"/>
        <v>350</v>
      </c>
      <c r="N260" s="1">
        <f t="shared" si="168"/>
        <v>75</v>
      </c>
      <c r="O260" s="1">
        <f t="shared" si="168"/>
        <v>0</v>
      </c>
      <c r="P260" s="1">
        <f t="shared" si="168"/>
        <v>0</v>
      </c>
      <c r="Q260" s="1">
        <f t="shared" si="168"/>
        <v>1520.98</v>
      </c>
      <c r="R260" s="1">
        <f t="shared" si="168"/>
        <v>269.7</v>
      </c>
      <c r="S260" s="1">
        <f t="shared" ref="S260:V260" si="169">+S257+S258+S259</f>
        <v>1400</v>
      </c>
      <c r="T260" s="13">
        <f t="shared" si="169"/>
        <v>300</v>
      </c>
      <c r="U260" s="34">
        <f t="shared" si="169"/>
        <v>1400</v>
      </c>
      <c r="V260" s="34">
        <f t="shared" si="169"/>
        <v>269.7</v>
      </c>
    </row>
    <row r="261" spans="1:22" ht="18.75">
      <c r="A261" s="50">
        <v>18</v>
      </c>
      <c r="B261" s="50" t="s">
        <v>319</v>
      </c>
      <c r="C261" s="51" t="s">
        <v>13</v>
      </c>
      <c r="D261" s="43" t="s">
        <v>320</v>
      </c>
      <c r="E261">
        <v>1529</v>
      </c>
      <c r="F261">
        <v>132.83000000000001</v>
      </c>
      <c r="G261">
        <v>127</v>
      </c>
      <c r="H261">
        <v>11</v>
      </c>
      <c r="I261" t="e">
        <f>ROUND(#REF!/12*3,2)</f>
        <v>#REF!</v>
      </c>
      <c r="J261" t="e">
        <f>ROUND(#REF!/12*3,2)</f>
        <v>#REF!</v>
      </c>
      <c r="M261" s="21">
        <v>400</v>
      </c>
      <c r="N261" s="21">
        <v>0</v>
      </c>
      <c r="O261" s="21"/>
      <c r="P261" s="21"/>
      <c r="Q261">
        <v>1672</v>
      </c>
      <c r="R261">
        <v>140</v>
      </c>
      <c r="S261">
        <f>ROUND(M261/3*12,2)</f>
        <v>1600</v>
      </c>
      <c r="T261">
        <f>ROUND(N261/3*12,2)</f>
        <v>0</v>
      </c>
      <c r="U261" s="23">
        <f t="shared" si="126"/>
        <v>1600</v>
      </c>
      <c r="V261" s="23">
        <f>IF(R261&lt;T261,R261,T261)+120</f>
        <v>120</v>
      </c>
    </row>
    <row r="262" spans="1:22" ht="18.75">
      <c r="A262" s="50"/>
      <c r="B262" s="50"/>
      <c r="C262" s="51"/>
      <c r="D262" s="43" t="s">
        <v>321</v>
      </c>
      <c r="E262" s="6">
        <f t="shared" ref="E262:H262" si="170">+E261+E260+E256+E253+E248</f>
        <v>15438.41</v>
      </c>
      <c r="F262" s="6">
        <f t="shared" si="170"/>
        <v>4246.53</v>
      </c>
      <c r="G262" s="6">
        <f t="shared" si="170"/>
        <v>1288</v>
      </c>
      <c r="H262" s="6">
        <f t="shared" si="170"/>
        <v>355</v>
      </c>
      <c r="I262" s="6" t="e">
        <f t="shared" ref="I262" si="171">+I261+I260+I256+I253+I248</f>
        <v>#REF!</v>
      </c>
      <c r="J262" s="17" t="e">
        <f t="shared" ref="J262" si="172">+J261+J260+J256+J253+J248</f>
        <v>#REF!</v>
      </c>
      <c r="K262" s="6">
        <f t="shared" ref="K262" si="173">+K261+K260+K256+K253+K248</f>
        <v>0</v>
      </c>
      <c r="L262" s="6">
        <f t="shared" ref="L262" si="174">+L261+L260+L256+L253+L248</f>
        <v>0</v>
      </c>
      <c r="M262" s="6">
        <f t="shared" ref="M262" si="175">+M261+M260+M256+M253+M248</f>
        <v>3754.75</v>
      </c>
      <c r="N262" s="6">
        <f t="shared" ref="N262:V262" si="176">+N261+N260+N256+N253+N248</f>
        <v>706</v>
      </c>
      <c r="O262" s="6">
        <f t="shared" si="176"/>
        <v>50</v>
      </c>
      <c r="P262" s="6">
        <f t="shared" si="176"/>
        <v>193.7</v>
      </c>
      <c r="Q262" s="6">
        <f t="shared" si="176"/>
        <v>16724.88</v>
      </c>
      <c r="R262" s="6">
        <f t="shared" si="176"/>
        <v>3827.7</v>
      </c>
      <c r="S262" s="6">
        <f t="shared" si="176"/>
        <v>15019</v>
      </c>
      <c r="T262" s="17">
        <f t="shared" si="176"/>
        <v>2824</v>
      </c>
      <c r="U262" s="34">
        <f t="shared" si="176"/>
        <v>14845.390000000001</v>
      </c>
      <c r="V262" s="34">
        <f t="shared" si="176"/>
        <v>2912.7</v>
      </c>
    </row>
    <row r="263" spans="1:22" ht="18.75">
      <c r="A263" s="50">
        <v>1</v>
      </c>
      <c r="B263" s="50" t="s">
        <v>322</v>
      </c>
      <c r="C263" s="51" t="s">
        <v>32</v>
      </c>
      <c r="D263" s="43" t="s">
        <v>323</v>
      </c>
      <c r="E263">
        <v>3221.69</v>
      </c>
      <c r="F263">
        <v>949.08</v>
      </c>
      <c r="G263">
        <v>268</v>
      </c>
      <c r="H263">
        <v>79</v>
      </c>
      <c r="I263" t="e">
        <f>ROUND(#REF!/12*3,2)</f>
        <v>#REF!</v>
      </c>
      <c r="J263" t="e">
        <f>ROUND(#REF!/12*3,2)</f>
        <v>#REF!</v>
      </c>
      <c r="M263" s="24">
        <f>1000-150</f>
        <v>850</v>
      </c>
      <c r="N263" s="21">
        <v>130</v>
      </c>
      <c r="O263" s="21"/>
      <c r="P263" s="21"/>
      <c r="Q263">
        <v>3280</v>
      </c>
      <c r="R263">
        <v>450</v>
      </c>
      <c r="S263">
        <f>ROUND(M263/3*12,2)</f>
        <v>3400</v>
      </c>
      <c r="T263">
        <f>ROUND(N263/3*12,2)</f>
        <v>520</v>
      </c>
      <c r="U263" s="23">
        <f t="shared" ref="U263:U309" si="177">IF(Q263&lt;S263,Q263,S263)</f>
        <v>3280</v>
      </c>
      <c r="V263" s="23">
        <f t="shared" ref="V263:V309" si="178">IF(R263&lt;T263,R263,T263)</f>
        <v>450</v>
      </c>
    </row>
    <row r="264" spans="1:22" ht="18.75">
      <c r="A264" s="50">
        <v>2</v>
      </c>
      <c r="B264" s="50" t="s">
        <v>324</v>
      </c>
      <c r="C264" s="51" t="s">
        <v>32</v>
      </c>
      <c r="D264" s="43" t="s">
        <v>325</v>
      </c>
      <c r="E264">
        <v>855.14</v>
      </c>
      <c r="F264">
        <v>35.65</v>
      </c>
      <c r="G264">
        <v>71</v>
      </c>
      <c r="H264">
        <v>117</v>
      </c>
      <c r="I264" t="e">
        <f>ROUND(#REF!/12*3,2)</f>
        <v>#REF!</v>
      </c>
      <c r="J264" t="e">
        <f>ROUND(#REF!/12*3,2)</f>
        <v>#REF!</v>
      </c>
      <c r="M264" s="21">
        <v>236</v>
      </c>
      <c r="N264" s="21">
        <v>0</v>
      </c>
      <c r="O264" s="21"/>
      <c r="P264" s="21"/>
      <c r="Q264">
        <v>850</v>
      </c>
      <c r="R264">
        <f>113+4</f>
        <v>117</v>
      </c>
      <c r="S264">
        <f>ROUND(M264/3*12,2)</f>
        <v>944</v>
      </c>
      <c r="T264">
        <f>ROUND(N264/3*12,2)+117</f>
        <v>117</v>
      </c>
      <c r="U264" s="23">
        <f t="shared" si="177"/>
        <v>850</v>
      </c>
      <c r="V264" s="23">
        <f t="shared" si="178"/>
        <v>117</v>
      </c>
    </row>
    <row r="265" spans="1:22" ht="18.75">
      <c r="A265" s="50"/>
      <c r="B265" s="50"/>
      <c r="C265" s="51"/>
      <c r="D265" s="43" t="s">
        <v>326</v>
      </c>
      <c r="E265" s="4">
        <f t="shared" ref="E265:R265" si="179">+E263+E264</f>
        <v>4076.83</v>
      </c>
      <c r="F265" s="4">
        <f t="shared" si="179"/>
        <v>984.73</v>
      </c>
      <c r="G265" s="4">
        <f t="shared" si="179"/>
        <v>339</v>
      </c>
      <c r="H265" s="4">
        <f t="shared" si="179"/>
        <v>196</v>
      </c>
      <c r="I265" s="4" t="e">
        <f t="shared" si="179"/>
        <v>#REF!</v>
      </c>
      <c r="J265" s="18" t="e">
        <f t="shared" si="179"/>
        <v>#REF!</v>
      </c>
      <c r="K265" s="4">
        <f t="shared" si="179"/>
        <v>0</v>
      </c>
      <c r="L265" s="4">
        <f t="shared" si="179"/>
        <v>0</v>
      </c>
      <c r="M265" s="4">
        <f t="shared" si="179"/>
        <v>1086</v>
      </c>
      <c r="N265" s="4">
        <f t="shared" si="179"/>
        <v>130</v>
      </c>
      <c r="O265" s="4">
        <f t="shared" si="179"/>
        <v>0</v>
      </c>
      <c r="P265" s="4">
        <f t="shared" si="179"/>
        <v>0</v>
      </c>
      <c r="Q265" s="4">
        <f t="shared" si="179"/>
        <v>4130</v>
      </c>
      <c r="R265" s="4">
        <f t="shared" si="179"/>
        <v>567</v>
      </c>
      <c r="S265" s="4">
        <f t="shared" ref="S265:V265" si="180">+S263+S264</f>
        <v>4344</v>
      </c>
      <c r="T265" s="18">
        <f t="shared" si="180"/>
        <v>637</v>
      </c>
      <c r="U265" s="35">
        <f t="shared" si="180"/>
        <v>4130</v>
      </c>
      <c r="V265" s="35">
        <f t="shared" si="180"/>
        <v>567</v>
      </c>
    </row>
    <row r="266" spans="1:22" ht="18.75">
      <c r="A266" s="50">
        <v>1</v>
      </c>
      <c r="B266" s="50" t="s">
        <v>327</v>
      </c>
      <c r="C266" s="51" t="s">
        <v>69</v>
      </c>
      <c r="D266" s="43" t="s">
        <v>328</v>
      </c>
      <c r="E266">
        <v>2409</v>
      </c>
      <c r="F266">
        <v>4525.25</v>
      </c>
      <c r="G266">
        <v>201</v>
      </c>
      <c r="H266">
        <v>377</v>
      </c>
      <c r="I266" t="e">
        <f>ROUND(#REF!/12*3,2)</f>
        <v>#REF!</v>
      </c>
      <c r="J266" t="e">
        <f>ROUND(#REF!/12*3,2)</f>
        <v>#REF!</v>
      </c>
      <c r="M266" s="24">
        <f>700-50</f>
        <v>650</v>
      </c>
      <c r="N266" s="24">
        <f>1175-100-75</f>
        <v>1000</v>
      </c>
      <c r="O266" s="24"/>
      <c r="P266" s="24"/>
      <c r="Q266">
        <v>230</v>
      </c>
      <c r="R266">
        <v>4000</v>
      </c>
      <c r="S266">
        <f t="shared" ref="S266:T268" si="181">ROUND(M266/3*12,2)</f>
        <v>2600</v>
      </c>
      <c r="T266">
        <f t="shared" si="181"/>
        <v>4000</v>
      </c>
      <c r="U266" s="23">
        <f t="shared" si="177"/>
        <v>230</v>
      </c>
      <c r="V266" s="23">
        <f t="shared" si="178"/>
        <v>4000</v>
      </c>
    </row>
    <row r="267" spans="1:22" ht="18.75">
      <c r="A267" s="47">
        <v>2</v>
      </c>
      <c r="B267" s="47"/>
      <c r="C267" s="48"/>
      <c r="D267" s="49" t="s">
        <v>329</v>
      </c>
      <c r="E267">
        <v>702.77</v>
      </c>
      <c r="F267">
        <v>0</v>
      </c>
      <c r="G267">
        <v>59</v>
      </c>
      <c r="H267">
        <v>0</v>
      </c>
      <c r="I267" t="e">
        <f>ROUND(#REF!/12*3,2)</f>
        <v>#REF!</v>
      </c>
      <c r="J267" t="e">
        <f>ROUND(#REF!/12*3,2)</f>
        <v>#REF!</v>
      </c>
      <c r="M267" s="21">
        <v>185</v>
      </c>
      <c r="N267" s="21">
        <v>70</v>
      </c>
      <c r="O267" s="21"/>
      <c r="P267" s="21"/>
      <c r="Q267">
        <v>729.21</v>
      </c>
      <c r="R267" s="32">
        <f>32.2+37.8</f>
        <v>70</v>
      </c>
      <c r="S267">
        <f t="shared" si="181"/>
        <v>740</v>
      </c>
      <c r="T267">
        <f t="shared" si="181"/>
        <v>280</v>
      </c>
      <c r="U267" s="23">
        <f t="shared" si="177"/>
        <v>729.21</v>
      </c>
      <c r="V267" s="23">
        <f t="shared" si="178"/>
        <v>70</v>
      </c>
    </row>
    <row r="268" spans="1:22" ht="37.5">
      <c r="A268" s="47">
        <v>3</v>
      </c>
      <c r="B268" s="47"/>
      <c r="C268" s="48"/>
      <c r="D268" s="49" t="s">
        <v>330</v>
      </c>
      <c r="E268">
        <v>1562</v>
      </c>
      <c r="F268">
        <v>0</v>
      </c>
      <c r="G268">
        <v>130</v>
      </c>
      <c r="H268">
        <v>0</v>
      </c>
      <c r="I268" t="e">
        <f>ROUND(#REF!/12*3,2)</f>
        <v>#REF!</v>
      </c>
      <c r="J268" t="e">
        <f>ROUND(#REF!/12*3,2)</f>
        <v>#REF!</v>
      </c>
      <c r="M268" s="24">
        <f>435-30</f>
        <v>405</v>
      </c>
      <c r="N268" s="21"/>
      <c r="O268" s="21"/>
      <c r="P268" s="21"/>
      <c r="Q268">
        <v>1012</v>
      </c>
      <c r="S268">
        <f t="shared" si="181"/>
        <v>1620</v>
      </c>
      <c r="T268">
        <f t="shared" si="181"/>
        <v>0</v>
      </c>
      <c r="U268" s="23">
        <f t="shared" si="177"/>
        <v>1012</v>
      </c>
      <c r="V268" s="23">
        <f t="shared" si="178"/>
        <v>0</v>
      </c>
    </row>
    <row r="269" spans="1:22" ht="18.75">
      <c r="A269" s="50"/>
      <c r="B269" s="50" t="s">
        <v>331</v>
      </c>
      <c r="C269" s="51" t="s">
        <v>17</v>
      </c>
      <c r="D269" s="43" t="s">
        <v>329</v>
      </c>
      <c r="E269" s="1">
        <f t="shared" ref="E269:R269" si="182">+E267+E268</f>
        <v>2264.77</v>
      </c>
      <c r="F269" s="1">
        <f t="shared" si="182"/>
        <v>0</v>
      </c>
      <c r="G269" s="1">
        <f t="shared" si="182"/>
        <v>189</v>
      </c>
      <c r="H269" s="1">
        <f t="shared" si="182"/>
        <v>0</v>
      </c>
      <c r="I269" s="1" t="e">
        <f t="shared" si="182"/>
        <v>#REF!</v>
      </c>
      <c r="J269" s="13" t="e">
        <f t="shared" si="182"/>
        <v>#REF!</v>
      </c>
      <c r="K269" s="1">
        <f t="shared" si="182"/>
        <v>0</v>
      </c>
      <c r="L269" s="1">
        <f t="shared" si="182"/>
        <v>0</v>
      </c>
      <c r="M269" s="1">
        <f t="shared" si="182"/>
        <v>590</v>
      </c>
      <c r="N269" s="1">
        <f t="shared" si="182"/>
        <v>70</v>
      </c>
      <c r="O269" s="1">
        <f t="shared" si="182"/>
        <v>0</v>
      </c>
      <c r="P269" s="1">
        <f t="shared" si="182"/>
        <v>0</v>
      </c>
      <c r="Q269" s="1">
        <f t="shared" si="182"/>
        <v>1741.21</v>
      </c>
      <c r="R269" s="1">
        <f t="shared" si="182"/>
        <v>70</v>
      </c>
      <c r="S269" s="1">
        <f t="shared" ref="S269:V269" si="183">+S267+S268</f>
        <v>2360</v>
      </c>
      <c r="T269" s="13">
        <f t="shared" si="183"/>
        <v>280</v>
      </c>
      <c r="U269" s="34">
        <f t="shared" si="183"/>
        <v>1741.21</v>
      </c>
      <c r="V269" s="34">
        <f t="shared" si="183"/>
        <v>70</v>
      </c>
    </row>
    <row r="270" spans="1:22" ht="18.75">
      <c r="A270" s="50">
        <v>4</v>
      </c>
      <c r="B270" s="50" t="s">
        <v>332</v>
      </c>
      <c r="C270" s="51" t="s">
        <v>32</v>
      </c>
      <c r="D270" s="43" t="s">
        <v>333</v>
      </c>
      <c r="E270">
        <v>0</v>
      </c>
      <c r="F270">
        <v>0</v>
      </c>
      <c r="G270">
        <v>0</v>
      </c>
      <c r="H270">
        <v>0</v>
      </c>
      <c r="I270" t="e">
        <f>ROUND(#REF!/12*3,2)</f>
        <v>#REF!</v>
      </c>
      <c r="J270" t="e">
        <f>ROUND(#REF!/12*3,2)</f>
        <v>#REF!</v>
      </c>
      <c r="M270" s="21">
        <v>0</v>
      </c>
      <c r="N270" s="21">
        <v>0</v>
      </c>
      <c r="O270" s="21"/>
      <c r="P270" s="21"/>
      <c r="S270">
        <f>ROUND(M270/3*12,2)</f>
        <v>0</v>
      </c>
      <c r="T270">
        <f>ROUND(N270/3*12,2)</f>
        <v>0</v>
      </c>
      <c r="U270" s="23">
        <f t="shared" si="177"/>
        <v>0</v>
      </c>
      <c r="V270" s="23">
        <f t="shared" si="178"/>
        <v>0</v>
      </c>
    </row>
    <row r="271" spans="1:22" ht="18.75">
      <c r="A271" s="50"/>
      <c r="B271" s="50"/>
      <c r="C271" s="51"/>
      <c r="D271" s="43" t="s">
        <v>334</v>
      </c>
      <c r="E271" s="4">
        <f t="shared" ref="E271:R271" si="184">+E266+E269+E270</f>
        <v>4673.7700000000004</v>
      </c>
      <c r="F271" s="4">
        <f t="shared" si="184"/>
        <v>4525.25</v>
      </c>
      <c r="G271" s="4">
        <f t="shared" si="184"/>
        <v>390</v>
      </c>
      <c r="H271" s="4">
        <f t="shared" si="184"/>
        <v>377</v>
      </c>
      <c r="I271" s="4" t="e">
        <f t="shared" si="184"/>
        <v>#REF!</v>
      </c>
      <c r="J271" s="18" t="e">
        <f t="shared" si="184"/>
        <v>#REF!</v>
      </c>
      <c r="K271" s="4">
        <f t="shared" si="184"/>
        <v>0</v>
      </c>
      <c r="L271" s="4">
        <f t="shared" si="184"/>
        <v>0</v>
      </c>
      <c r="M271" s="4">
        <f t="shared" si="184"/>
        <v>1240</v>
      </c>
      <c r="N271" s="4">
        <f t="shared" si="184"/>
        <v>1070</v>
      </c>
      <c r="O271" s="4">
        <f t="shared" si="184"/>
        <v>0</v>
      </c>
      <c r="P271" s="4">
        <f t="shared" si="184"/>
        <v>0</v>
      </c>
      <c r="Q271" s="4">
        <f t="shared" si="184"/>
        <v>1971.21</v>
      </c>
      <c r="R271" s="4">
        <f t="shared" si="184"/>
        <v>4070</v>
      </c>
      <c r="S271" s="4">
        <f t="shared" ref="S271:V271" si="185">+S266+S269+S270</f>
        <v>4960</v>
      </c>
      <c r="T271" s="18">
        <f t="shared" si="185"/>
        <v>4280</v>
      </c>
      <c r="U271" s="35">
        <f t="shared" si="185"/>
        <v>1971.21</v>
      </c>
      <c r="V271" s="35">
        <f t="shared" si="185"/>
        <v>4070</v>
      </c>
    </row>
    <row r="272" spans="1:22" ht="18.75">
      <c r="A272" s="47">
        <v>1</v>
      </c>
      <c r="B272" s="47"/>
      <c r="C272" s="48"/>
      <c r="D272" s="49" t="s">
        <v>335</v>
      </c>
      <c r="E272">
        <v>9844.35</v>
      </c>
      <c r="F272">
        <v>8874.26</v>
      </c>
      <c r="G272">
        <v>820</v>
      </c>
      <c r="H272">
        <v>700</v>
      </c>
      <c r="I272" t="e">
        <f>ROUND(#REF!/12*3,2)</f>
        <v>#REF!</v>
      </c>
      <c r="J272" t="e">
        <f>ROUND(#REF!/12*3,2)</f>
        <v>#REF!</v>
      </c>
      <c r="M272" s="21">
        <v>2500</v>
      </c>
      <c r="N272" s="21">
        <v>2295.42</v>
      </c>
      <c r="O272" s="21"/>
      <c r="P272" s="21"/>
      <c r="Q272">
        <v>9845</v>
      </c>
      <c r="R272" s="28">
        <v>10400</v>
      </c>
      <c r="S272">
        <f t="shared" ref="S272:S285" si="186">ROUND(M272/3*12,2)</f>
        <v>10000</v>
      </c>
      <c r="T272">
        <f>ROUND(N272/3*12,2)+1218.32</f>
        <v>10400</v>
      </c>
      <c r="U272" s="23">
        <f t="shared" si="177"/>
        <v>9845</v>
      </c>
      <c r="V272" s="23">
        <f t="shared" si="178"/>
        <v>10400</v>
      </c>
    </row>
    <row r="273" spans="1:22" ht="18.75" hidden="1">
      <c r="A273" s="47">
        <v>2</v>
      </c>
      <c r="B273" s="47"/>
      <c r="C273" s="48"/>
      <c r="D273" s="49" t="s">
        <v>336</v>
      </c>
      <c r="E273">
        <v>0</v>
      </c>
      <c r="F273">
        <v>0</v>
      </c>
      <c r="G273">
        <v>0</v>
      </c>
      <c r="H273">
        <v>0</v>
      </c>
      <c r="I273" t="e">
        <f>ROUND(#REF!/12*3,2)</f>
        <v>#REF!</v>
      </c>
      <c r="J273" t="e">
        <f>ROUND(#REF!/12*3,2)</f>
        <v>#REF!</v>
      </c>
      <c r="S273">
        <f t="shared" si="186"/>
        <v>0</v>
      </c>
      <c r="T273">
        <f t="shared" ref="T273:T285" si="187">ROUND(N273/3*12,2)</f>
        <v>0</v>
      </c>
      <c r="U273" s="23">
        <f t="shared" si="177"/>
        <v>0</v>
      </c>
      <c r="V273" s="23">
        <f t="shared" si="178"/>
        <v>0</v>
      </c>
    </row>
    <row r="274" spans="1:22" ht="18.75" hidden="1">
      <c r="A274" s="47">
        <v>3</v>
      </c>
      <c r="B274" s="47"/>
      <c r="C274" s="48"/>
      <c r="D274" s="49" t="s">
        <v>337</v>
      </c>
      <c r="E274">
        <v>0</v>
      </c>
      <c r="F274">
        <v>0</v>
      </c>
      <c r="G274">
        <v>0</v>
      </c>
      <c r="H274">
        <v>0</v>
      </c>
      <c r="I274" t="e">
        <f>ROUND(#REF!/12*3,2)</f>
        <v>#REF!</v>
      </c>
      <c r="J274" t="e">
        <f>ROUND(#REF!/12*3,2)</f>
        <v>#REF!</v>
      </c>
      <c r="S274">
        <f t="shared" si="186"/>
        <v>0</v>
      </c>
      <c r="T274">
        <f t="shared" si="187"/>
        <v>0</v>
      </c>
      <c r="U274" s="23">
        <f t="shared" si="177"/>
        <v>0</v>
      </c>
      <c r="V274" s="23">
        <f t="shared" si="178"/>
        <v>0</v>
      </c>
    </row>
    <row r="275" spans="1:22" ht="18.75" hidden="1">
      <c r="A275" s="47">
        <v>4</v>
      </c>
      <c r="B275" s="47"/>
      <c r="C275" s="48"/>
      <c r="D275" s="49" t="s">
        <v>338</v>
      </c>
      <c r="E275">
        <v>0</v>
      </c>
      <c r="F275">
        <v>0</v>
      </c>
      <c r="G275">
        <v>0</v>
      </c>
      <c r="H275">
        <v>0</v>
      </c>
      <c r="I275" t="e">
        <f>ROUND(#REF!/12*3,2)</f>
        <v>#REF!</v>
      </c>
      <c r="J275" t="e">
        <f>ROUND(#REF!/12*3,2)</f>
        <v>#REF!</v>
      </c>
      <c r="S275">
        <f t="shared" si="186"/>
        <v>0</v>
      </c>
      <c r="T275">
        <f t="shared" si="187"/>
        <v>0</v>
      </c>
      <c r="U275" s="23">
        <f t="shared" si="177"/>
        <v>0</v>
      </c>
      <c r="V275" s="23">
        <f t="shared" si="178"/>
        <v>0</v>
      </c>
    </row>
    <row r="276" spans="1:22" ht="18.75" hidden="1">
      <c r="A276" s="47">
        <v>5</v>
      </c>
      <c r="B276" s="47"/>
      <c r="C276" s="48"/>
      <c r="D276" s="49" t="s">
        <v>339</v>
      </c>
      <c r="E276">
        <v>0</v>
      </c>
      <c r="F276">
        <v>0</v>
      </c>
      <c r="G276">
        <v>0</v>
      </c>
      <c r="H276">
        <v>0</v>
      </c>
      <c r="I276" t="e">
        <f>ROUND(#REF!/12*3,2)</f>
        <v>#REF!</v>
      </c>
      <c r="J276" t="e">
        <f>ROUND(#REF!/12*3,2)</f>
        <v>#REF!</v>
      </c>
      <c r="S276">
        <f t="shared" si="186"/>
        <v>0</v>
      </c>
      <c r="T276">
        <f t="shared" si="187"/>
        <v>0</v>
      </c>
      <c r="U276" s="23">
        <f t="shared" si="177"/>
        <v>0</v>
      </c>
      <c r="V276" s="23">
        <f t="shared" si="178"/>
        <v>0</v>
      </c>
    </row>
    <row r="277" spans="1:22" ht="18.75" hidden="1">
      <c r="A277" s="47">
        <v>6</v>
      </c>
      <c r="B277" s="47"/>
      <c r="C277" s="48"/>
      <c r="D277" s="49" t="s">
        <v>340</v>
      </c>
      <c r="E277">
        <v>0</v>
      </c>
      <c r="F277">
        <v>0</v>
      </c>
      <c r="G277">
        <v>0</v>
      </c>
      <c r="H277">
        <v>0</v>
      </c>
      <c r="I277" t="e">
        <f>ROUND(#REF!/12*3,2)</f>
        <v>#REF!</v>
      </c>
      <c r="J277" t="e">
        <f>ROUND(#REF!/12*3,2)</f>
        <v>#REF!</v>
      </c>
      <c r="S277">
        <f t="shared" si="186"/>
        <v>0</v>
      </c>
      <c r="T277">
        <f t="shared" si="187"/>
        <v>0</v>
      </c>
      <c r="U277" s="23">
        <f t="shared" si="177"/>
        <v>0</v>
      </c>
      <c r="V277" s="23">
        <f t="shared" si="178"/>
        <v>0</v>
      </c>
    </row>
    <row r="278" spans="1:22" ht="18.75" hidden="1">
      <c r="A278" s="47">
        <v>7</v>
      </c>
      <c r="B278" s="47"/>
      <c r="C278" s="48"/>
      <c r="D278" s="49" t="s">
        <v>341</v>
      </c>
      <c r="E278">
        <v>0</v>
      </c>
      <c r="F278">
        <v>0</v>
      </c>
      <c r="G278">
        <v>0</v>
      </c>
      <c r="H278">
        <v>0</v>
      </c>
      <c r="I278" t="e">
        <f>ROUND(#REF!/12*3,2)</f>
        <v>#REF!</v>
      </c>
      <c r="J278" t="e">
        <f>ROUND(#REF!/12*3,2)</f>
        <v>#REF!</v>
      </c>
      <c r="S278">
        <f t="shared" si="186"/>
        <v>0</v>
      </c>
      <c r="T278">
        <f t="shared" si="187"/>
        <v>0</v>
      </c>
      <c r="U278" s="23">
        <f t="shared" si="177"/>
        <v>0</v>
      </c>
      <c r="V278" s="23">
        <f t="shared" si="178"/>
        <v>0</v>
      </c>
    </row>
    <row r="279" spans="1:22" ht="18.75" hidden="1">
      <c r="A279" s="47">
        <v>8</v>
      </c>
      <c r="B279" s="47"/>
      <c r="C279" s="48"/>
      <c r="D279" s="49" t="s">
        <v>342</v>
      </c>
      <c r="E279">
        <v>0</v>
      </c>
      <c r="F279">
        <v>0</v>
      </c>
      <c r="G279">
        <v>0</v>
      </c>
      <c r="H279">
        <v>0</v>
      </c>
      <c r="I279" t="e">
        <f>ROUND(#REF!/12*3,2)</f>
        <v>#REF!</v>
      </c>
      <c r="J279" t="e">
        <f>ROUND(#REF!/12*3,2)</f>
        <v>#REF!</v>
      </c>
      <c r="S279">
        <f t="shared" si="186"/>
        <v>0</v>
      </c>
      <c r="T279">
        <f t="shared" si="187"/>
        <v>0</v>
      </c>
      <c r="U279" s="23">
        <f t="shared" si="177"/>
        <v>0</v>
      </c>
      <c r="V279" s="23">
        <f t="shared" si="178"/>
        <v>0</v>
      </c>
    </row>
    <row r="280" spans="1:22" ht="18.75" hidden="1">
      <c r="A280" s="47">
        <v>9</v>
      </c>
      <c r="B280" s="47"/>
      <c r="C280" s="48"/>
      <c r="D280" s="49" t="s">
        <v>343</v>
      </c>
      <c r="E280">
        <v>0</v>
      </c>
      <c r="F280">
        <v>0</v>
      </c>
      <c r="G280">
        <v>0</v>
      </c>
      <c r="H280">
        <v>0</v>
      </c>
      <c r="I280" t="e">
        <f>ROUND(#REF!/12*3,2)</f>
        <v>#REF!</v>
      </c>
      <c r="J280" t="e">
        <f>ROUND(#REF!/12*3,2)</f>
        <v>#REF!</v>
      </c>
      <c r="S280">
        <f t="shared" si="186"/>
        <v>0</v>
      </c>
      <c r="T280">
        <f t="shared" si="187"/>
        <v>0</v>
      </c>
      <c r="U280" s="23">
        <f t="shared" si="177"/>
        <v>0</v>
      </c>
      <c r="V280" s="23">
        <f t="shared" si="178"/>
        <v>0</v>
      </c>
    </row>
    <row r="281" spans="1:22" ht="37.5" hidden="1">
      <c r="A281" s="47">
        <v>10</v>
      </c>
      <c r="B281" s="47"/>
      <c r="C281" s="48"/>
      <c r="D281" s="49" t="s">
        <v>344</v>
      </c>
      <c r="E281">
        <v>0</v>
      </c>
      <c r="F281">
        <v>0</v>
      </c>
      <c r="G281">
        <v>0</v>
      </c>
      <c r="H281">
        <v>0</v>
      </c>
      <c r="I281" t="e">
        <f>ROUND(#REF!/12*3,2)</f>
        <v>#REF!</v>
      </c>
      <c r="J281" t="e">
        <f>ROUND(#REF!/12*3,2)</f>
        <v>#REF!</v>
      </c>
      <c r="S281">
        <f t="shared" si="186"/>
        <v>0</v>
      </c>
      <c r="T281">
        <f t="shared" si="187"/>
        <v>0</v>
      </c>
      <c r="U281" s="23">
        <f t="shared" si="177"/>
        <v>0</v>
      </c>
      <c r="V281" s="23">
        <f t="shared" si="178"/>
        <v>0</v>
      </c>
    </row>
    <row r="282" spans="1:22" ht="18.75" hidden="1">
      <c r="A282" s="47">
        <v>11</v>
      </c>
      <c r="B282" s="47"/>
      <c r="C282" s="48"/>
      <c r="D282" s="49" t="s">
        <v>345</v>
      </c>
      <c r="E282">
        <v>0</v>
      </c>
      <c r="F282">
        <v>0</v>
      </c>
      <c r="G282">
        <v>0</v>
      </c>
      <c r="H282">
        <v>0</v>
      </c>
      <c r="I282" t="e">
        <f>ROUND(#REF!/12*3,2)</f>
        <v>#REF!</v>
      </c>
      <c r="J282" t="e">
        <f>ROUND(#REF!/12*3,2)</f>
        <v>#REF!</v>
      </c>
      <c r="S282">
        <f t="shared" si="186"/>
        <v>0</v>
      </c>
      <c r="T282">
        <f t="shared" si="187"/>
        <v>0</v>
      </c>
      <c r="U282" s="23">
        <f t="shared" si="177"/>
        <v>0</v>
      </c>
      <c r="V282" s="23">
        <f t="shared" si="178"/>
        <v>0</v>
      </c>
    </row>
    <row r="283" spans="1:22" ht="18.75" hidden="1">
      <c r="A283" s="47"/>
      <c r="B283" s="47"/>
      <c r="C283" s="48"/>
      <c r="D283" s="49" t="s">
        <v>346</v>
      </c>
      <c r="E283">
        <v>0</v>
      </c>
      <c r="F283">
        <v>0</v>
      </c>
      <c r="G283">
        <v>0</v>
      </c>
      <c r="H283">
        <v>0</v>
      </c>
      <c r="I283" t="e">
        <f>ROUND(#REF!/12*3,2)</f>
        <v>#REF!</v>
      </c>
      <c r="J283" t="e">
        <f>ROUND(#REF!/12*3,2)</f>
        <v>#REF!</v>
      </c>
      <c r="S283">
        <f t="shared" si="186"/>
        <v>0</v>
      </c>
      <c r="T283">
        <f t="shared" si="187"/>
        <v>0</v>
      </c>
      <c r="U283" s="23">
        <f t="shared" si="177"/>
        <v>0</v>
      </c>
      <c r="V283" s="23">
        <f t="shared" si="178"/>
        <v>0</v>
      </c>
    </row>
    <row r="284" spans="1:22" ht="18.75" hidden="1">
      <c r="A284" s="47"/>
      <c r="B284" s="47"/>
      <c r="C284" s="48"/>
      <c r="D284" s="49" t="s">
        <v>347</v>
      </c>
      <c r="E284">
        <v>0</v>
      </c>
      <c r="F284">
        <v>0</v>
      </c>
      <c r="G284">
        <v>0</v>
      </c>
      <c r="H284">
        <v>0</v>
      </c>
      <c r="I284" t="e">
        <f>ROUND(#REF!/12*3,2)</f>
        <v>#REF!</v>
      </c>
      <c r="J284" t="e">
        <f>ROUND(#REF!/12*3,2)</f>
        <v>#REF!</v>
      </c>
      <c r="S284">
        <f t="shared" si="186"/>
        <v>0</v>
      </c>
      <c r="T284">
        <f t="shared" si="187"/>
        <v>0</v>
      </c>
      <c r="U284" s="23">
        <f t="shared" si="177"/>
        <v>0</v>
      </c>
      <c r="V284" s="23">
        <f t="shared" si="178"/>
        <v>0</v>
      </c>
    </row>
    <row r="285" spans="1:22" ht="18.75" hidden="1">
      <c r="A285" s="47"/>
      <c r="B285" s="47"/>
      <c r="C285" s="48"/>
      <c r="D285" s="49" t="s">
        <v>348</v>
      </c>
      <c r="E285">
        <v>0</v>
      </c>
      <c r="F285">
        <v>0</v>
      </c>
      <c r="G285">
        <v>0</v>
      </c>
      <c r="H285">
        <v>0</v>
      </c>
      <c r="I285" t="e">
        <f>ROUND(#REF!/12*3,2)</f>
        <v>#REF!</v>
      </c>
      <c r="J285" t="e">
        <f>ROUND(#REF!/12*3,2)</f>
        <v>#REF!</v>
      </c>
      <c r="S285">
        <f t="shared" si="186"/>
        <v>0</v>
      </c>
      <c r="T285">
        <f t="shared" si="187"/>
        <v>0</v>
      </c>
      <c r="U285" s="23">
        <f t="shared" si="177"/>
        <v>0</v>
      </c>
      <c r="V285" s="23">
        <f t="shared" si="178"/>
        <v>0</v>
      </c>
    </row>
    <row r="286" spans="1:22" ht="18.75">
      <c r="A286" s="50"/>
      <c r="B286" s="50" t="s">
        <v>349</v>
      </c>
      <c r="C286" s="51" t="s">
        <v>32</v>
      </c>
      <c r="D286" s="43" t="s">
        <v>335</v>
      </c>
      <c r="E286" s="7">
        <f t="shared" ref="E286:R286" si="188">+E272</f>
        <v>9844.35</v>
      </c>
      <c r="F286" s="7">
        <f t="shared" si="188"/>
        <v>8874.26</v>
      </c>
      <c r="G286" s="7">
        <f t="shared" si="188"/>
        <v>820</v>
      </c>
      <c r="H286" s="7">
        <f t="shared" si="188"/>
        <v>700</v>
      </c>
      <c r="I286" s="7" t="e">
        <f t="shared" si="188"/>
        <v>#REF!</v>
      </c>
      <c r="J286" s="20" t="e">
        <f t="shared" si="188"/>
        <v>#REF!</v>
      </c>
      <c r="K286" s="7">
        <f t="shared" si="188"/>
        <v>0</v>
      </c>
      <c r="L286" s="7">
        <f t="shared" si="188"/>
        <v>0</v>
      </c>
      <c r="M286" s="7">
        <f t="shared" si="188"/>
        <v>2500</v>
      </c>
      <c r="N286" s="7">
        <f t="shared" si="188"/>
        <v>2295.42</v>
      </c>
      <c r="O286" s="7">
        <f t="shared" si="188"/>
        <v>0</v>
      </c>
      <c r="P286" s="7">
        <f t="shared" si="188"/>
        <v>0</v>
      </c>
      <c r="Q286" s="7">
        <f t="shared" si="188"/>
        <v>9845</v>
      </c>
      <c r="R286" s="7">
        <f t="shared" si="188"/>
        <v>10400</v>
      </c>
      <c r="S286" s="7">
        <f t="shared" ref="S286:V286" si="189">+S272</f>
        <v>10000</v>
      </c>
      <c r="T286" s="20">
        <f t="shared" si="189"/>
        <v>10400</v>
      </c>
      <c r="U286" s="37">
        <f t="shared" si="189"/>
        <v>9845</v>
      </c>
      <c r="V286" s="37">
        <f t="shared" si="189"/>
        <v>10400</v>
      </c>
    </row>
    <row r="287" spans="1:22" ht="18.75">
      <c r="A287" s="50">
        <v>12</v>
      </c>
      <c r="B287" s="50" t="s">
        <v>350</v>
      </c>
      <c r="C287" s="51" t="s">
        <v>32</v>
      </c>
      <c r="D287" s="43" t="s">
        <v>351</v>
      </c>
      <c r="E287">
        <v>0</v>
      </c>
      <c r="F287">
        <v>0</v>
      </c>
      <c r="G287">
        <v>0</v>
      </c>
      <c r="H287">
        <v>0</v>
      </c>
      <c r="I287" t="e">
        <f>ROUND(#REF!/12*3,2)</f>
        <v>#REF!</v>
      </c>
      <c r="J287" t="e">
        <f>ROUND(#REF!/12*3,2)</f>
        <v>#REF!</v>
      </c>
      <c r="M287" s="10">
        <v>0</v>
      </c>
      <c r="N287" s="10">
        <v>0</v>
      </c>
      <c r="S287">
        <f>ROUND(M287/3*12,2)</f>
        <v>0</v>
      </c>
      <c r="T287">
        <f>ROUND(N287/3*12,2)</f>
        <v>0</v>
      </c>
      <c r="U287" s="23">
        <f t="shared" si="177"/>
        <v>0</v>
      </c>
      <c r="V287" s="23">
        <f t="shared" si="178"/>
        <v>0</v>
      </c>
    </row>
    <row r="288" spans="1:22" ht="18.75">
      <c r="A288" s="50"/>
      <c r="B288" s="50"/>
      <c r="C288" s="51"/>
      <c r="D288" s="43" t="s">
        <v>352</v>
      </c>
      <c r="E288" s="4">
        <f t="shared" ref="E288:H288" si="190">+E286+E287</f>
        <v>9844.35</v>
      </c>
      <c r="F288" s="4">
        <f t="shared" si="190"/>
        <v>8874.26</v>
      </c>
      <c r="G288" s="4">
        <f t="shared" si="190"/>
        <v>820</v>
      </c>
      <c r="H288" s="4">
        <f t="shared" si="190"/>
        <v>700</v>
      </c>
      <c r="I288" s="4" t="e">
        <f t="shared" ref="I288" si="191">+I286+I287</f>
        <v>#REF!</v>
      </c>
      <c r="J288" s="18" t="e">
        <f t="shared" ref="J288" si="192">+J286+J287</f>
        <v>#REF!</v>
      </c>
      <c r="K288" s="4">
        <f t="shared" ref="K288" si="193">+K286+K287</f>
        <v>0</v>
      </c>
      <c r="L288" s="4">
        <f t="shared" ref="L288" si="194">+L286+L287</f>
        <v>0</v>
      </c>
      <c r="M288" s="4">
        <f t="shared" ref="M288" si="195">+M286+M287</f>
        <v>2500</v>
      </c>
      <c r="N288" s="4">
        <f t="shared" ref="N288:V288" si="196">+N286+N287</f>
        <v>2295.42</v>
      </c>
      <c r="O288" s="4">
        <f t="shared" si="196"/>
        <v>0</v>
      </c>
      <c r="P288" s="4">
        <f t="shared" si="196"/>
        <v>0</v>
      </c>
      <c r="Q288" s="4">
        <f t="shared" si="196"/>
        <v>9845</v>
      </c>
      <c r="R288" s="4">
        <f t="shared" si="196"/>
        <v>10400</v>
      </c>
      <c r="S288" s="4">
        <f t="shared" si="196"/>
        <v>10000</v>
      </c>
      <c r="T288" s="18">
        <f t="shared" si="196"/>
        <v>10400</v>
      </c>
      <c r="U288" s="35">
        <f t="shared" si="196"/>
        <v>9845</v>
      </c>
      <c r="V288" s="35">
        <f t="shared" si="196"/>
        <v>10400</v>
      </c>
    </row>
    <row r="289" spans="1:22" ht="18.75">
      <c r="A289" s="47">
        <v>1</v>
      </c>
      <c r="B289" s="50" t="s">
        <v>353</v>
      </c>
      <c r="C289" s="51"/>
      <c r="D289" s="49" t="s">
        <v>354</v>
      </c>
      <c r="E289">
        <v>46.64</v>
      </c>
      <c r="F289">
        <v>0</v>
      </c>
      <c r="G289">
        <v>4</v>
      </c>
      <c r="H289">
        <v>0</v>
      </c>
      <c r="I289" t="e">
        <f>ROUND(#REF!/12*3,2)</f>
        <v>#REF!</v>
      </c>
      <c r="J289" t="e">
        <f>ROUND(#REF!/12*3,2)</f>
        <v>#REF!</v>
      </c>
      <c r="M289" s="21">
        <v>12</v>
      </c>
      <c r="N289" s="21">
        <v>0</v>
      </c>
      <c r="O289" s="21"/>
      <c r="P289" s="21"/>
      <c r="S289">
        <f>ROUND(M289/3*12,2)</f>
        <v>48</v>
      </c>
      <c r="T289">
        <f>ROUND(N289/3*12,2)</f>
        <v>0</v>
      </c>
      <c r="U289" s="23">
        <f t="shared" si="177"/>
        <v>0</v>
      </c>
      <c r="V289" s="23">
        <f t="shared" si="178"/>
        <v>0</v>
      </c>
    </row>
    <row r="290" spans="1:22" ht="18.75">
      <c r="A290" s="50"/>
      <c r="B290" s="50" t="s">
        <v>353</v>
      </c>
      <c r="C290" s="51" t="s">
        <v>32</v>
      </c>
      <c r="D290" s="43" t="s">
        <v>355</v>
      </c>
      <c r="E290" s="6">
        <f t="shared" ref="E290:R290" si="197">E289</f>
        <v>46.64</v>
      </c>
      <c r="F290" s="6">
        <f t="shared" si="197"/>
        <v>0</v>
      </c>
      <c r="G290" s="6">
        <f t="shared" si="197"/>
        <v>4</v>
      </c>
      <c r="H290" s="6">
        <f t="shared" si="197"/>
        <v>0</v>
      </c>
      <c r="I290" s="6" t="e">
        <f t="shared" si="197"/>
        <v>#REF!</v>
      </c>
      <c r="J290" s="17" t="e">
        <f t="shared" si="197"/>
        <v>#REF!</v>
      </c>
      <c r="K290" s="6">
        <f t="shared" si="197"/>
        <v>0</v>
      </c>
      <c r="L290" s="6">
        <f t="shared" si="197"/>
        <v>0</v>
      </c>
      <c r="M290" s="6">
        <f t="shared" si="197"/>
        <v>12</v>
      </c>
      <c r="N290" s="6">
        <f t="shared" si="197"/>
        <v>0</v>
      </c>
      <c r="O290" s="6">
        <f t="shared" si="197"/>
        <v>0</v>
      </c>
      <c r="P290" s="6">
        <f t="shared" si="197"/>
        <v>0</v>
      </c>
      <c r="Q290" s="6">
        <f t="shared" si="197"/>
        <v>0</v>
      </c>
      <c r="R290" s="6">
        <f t="shared" si="197"/>
        <v>0</v>
      </c>
      <c r="S290" s="6">
        <f t="shared" ref="S290:V290" si="198">S289</f>
        <v>48</v>
      </c>
      <c r="T290" s="17">
        <f t="shared" si="198"/>
        <v>0</v>
      </c>
      <c r="U290" s="34">
        <f t="shared" si="198"/>
        <v>0</v>
      </c>
      <c r="V290" s="34">
        <f t="shared" si="198"/>
        <v>0</v>
      </c>
    </row>
    <row r="291" spans="1:22" ht="18.75">
      <c r="A291" s="50">
        <v>1</v>
      </c>
      <c r="B291" s="50" t="s">
        <v>356</v>
      </c>
      <c r="C291" s="51" t="s">
        <v>32</v>
      </c>
      <c r="D291" s="43" t="s">
        <v>357</v>
      </c>
      <c r="E291">
        <v>476.3</v>
      </c>
      <c r="F291">
        <v>0</v>
      </c>
      <c r="G291">
        <v>40</v>
      </c>
      <c r="H291">
        <v>5</v>
      </c>
      <c r="I291" t="e">
        <f>ROUND(#REF!/12*3,2)</f>
        <v>#REF!</v>
      </c>
      <c r="J291" t="e">
        <f>ROUND(#REF!/12*3,2)</f>
        <v>#REF!</v>
      </c>
      <c r="M291" s="24">
        <v>98</v>
      </c>
      <c r="N291" s="21">
        <v>0</v>
      </c>
      <c r="O291" s="21"/>
      <c r="P291" s="21"/>
      <c r="Q291">
        <v>600</v>
      </c>
      <c r="R291">
        <v>53</v>
      </c>
      <c r="S291">
        <f t="shared" ref="S291:T295" si="199">ROUND(M291/3*12,2)</f>
        <v>392</v>
      </c>
      <c r="T291">
        <f t="shared" si="199"/>
        <v>0</v>
      </c>
      <c r="U291" s="23">
        <f t="shared" si="177"/>
        <v>392</v>
      </c>
      <c r="V291" s="23">
        <f>IF(R291&lt;T291,R291,T291)+53</f>
        <v>53</v>
      </c>
    </row>
    <row r="292" spans="1:22" ht="18.75">
      <c r="A292" s="50">
        <v>2</v>
      </c>
      <c r="B292" s="50" t="s">
        <v>358</v>
      </c>
      <c r="C292" s="51" t="s">
        <v>81</v>
      </c>
      <c r="D292" s="43" t="s">
        <v>359</v>
      </c>
      <c r="E292">
        <v>13750</v>
      </c>
      <c r="F292">
        <v>12.87</v>
      </c>
      <c r="G292">
        <v>1146</v>
      </c>
      <c r="H292">
        <v>0</v>
      </c>
      <c r="I292" t="e">
        <f>ROUND(#REF!/12*3,2)</f>
        <v>#REF!</v>
      </c>
      <c r="J292" t="e">
        <f>ROUND(#REF!/12*3,2)</f>
        <v>#REF!</v>
      </c>
      <c r="M292" s="24">
        <f>3100-100-100</f>
        <v>2900</v>
      </c>
      <c r="N292" s="21">
        <v>0</v>
      </c>
      <c r="O292" s="21"/>
      <c r="P292" s="21"/>
      <c r="Q292">
        <v>11200</v>
      </c>
      <c r="R292">
        <v>0</v>
      </c>
      <c r="S292">
        <f t="shared" si="199"/>
        <v>11600</v>
      </c>
      <c r="T292">
        <f t="shared" si="199"/>
        <v>0</v>
      </c>
      <c r="U292" s="23">
        <f t="shared" si="177"/>
        <v>11200</v>
      </c>
      <c r="V292" s="23">
        <f t="shared" si="178"/>
        <v>0</v>
      </c>
    </row>
    <row r="293" spans="1:22" ht="18.75">
      <c r="A293" s="50">
        <v>3</v>
      </c>
      <c r="B293" s="50" t="s">
        <v>360</v>
      </c>
      <c r="C293" s="51" t="s">
        <v>66</v>
      </c>
      <c r="D293" s="43" t="s">
        <v>361</v>
      </c>
      <c r="E293">
        <v>10555.42</v>
      </c>
      <c r="F293">
        <v>0.54</v>
      </c>
      <c r="G293">
        <v>880</v>
      </c>
      <c r="H293">
        <v>0</v>
      </c>
      <c r="I293" t="e">
        <f>ROUND(#REF!/12*3,2)</f>
        <v>#REF!</v>
      </c>
      <c r="J293" t="e">
        <f>ROUND(#REF!/12*3,2)</f>
        <v>#REF!</v>
      </c>
      <c r="M293" s="24">
        <f>2150-100</f>
        <v>2050</v>
      </c>
      <c r="N293" s="21">
        <v>0</v>
      </c>
      <c r="O293" s="21"/>
      <c r="P293" s="21"/>
      <c r="Q293">
        <v>10000</v>
      </c>
      <c r="R293">
        <v>0</v>
      </c>
      <c r="S293">
        <f t="shared" si="199"/>
        <v>8200</v>
      </c>
      <c r="T293">
        <f t="shared" si="199"/>
        <v>0</v>
      </c>
      <c r="U293" s="23">
        <f t="shared" si="177"/>
        <v>8200</v>
      </c>
      <c r="V293" s="23">
        <f t="shared" si="178"/>
        <v>0</v>
      </c>
    </row>
    <row r="294" spans="1:22" s="14" customFormat="1" ht="18.75">
      <c r="A294" s="50">
        <v>4</v>
      </c>
      <c r="B294" s="50" t="s">
        <v>362</v>
      </c>
      <c r="C294" s="51" t="s">
        <v>36</v>
      </c>
      <c r="D294" s="43" t="s">
        <v>363</v>
      </c>
      <c r="E294">
        <v>17987.78</v>
      </c>
      <c r="F294">
        <v>10.35</v>
      </c>
      <c r="G294">
        <v>1499</v>
      </c>
      <c r="H294">
        <v>1</v>
      </c>
      <c r="I294" t="e">
        <f>ROUND(#REF!/12*3,2)</f>
        <v>#REF!</v>
      </c>
      <c r="J294" t="e">
        <f>ROUND(#REF!/12*3,2)</f>
        <v>#REF!</v>
      </c>
      <c r="K294" s="10"/>
      <c r="L294" s="10"/>
      <c r="M294" s="24">
        <f>4200-100-100-200</f>
        <v>3800</v>
      </c>
      <c r="N294" s="21">
        <v>23</v>
      </c>
      <c r="O294" s="21"/>
      <c r="P294" s="21"/>
      <c r="Q294" s="14">
        <v>13500</v>
      </c>
      <c r="R294" s="14">
        <v>110</v>
      </c>
      <c r="S294">
        <f t="shared" si="199"/>
        <v>15200</v>
      </c>
      <c r="T294">
        <f t="shared" si="199"/>
        <v>92</v>
      </c>
      <c r="U294" s="23">
        <f t="shared" si="177"/>
        <v>13500</v>
      </c>
      <c r="V294" s="23">
        <f t="shared" si="178"/>
        <v>92</v>
      </c>
    </row>
    <row r="295" spans="1:22" s="14" customFormat="1" ht="18.75">
      <c r="A295" s="50">
        <v>5</v>
      </c>
      <c r="B295" s="50" t="s">
        <v>364</v>
      </c>
      <c r="C295" s="51" t="s">
        <v>159</v>
      </c>
      <c r="D295" s="43" t="s">
        <v>365</v>
      </c>
      <c r="E295">
        <v>10723.24</v>
      </c>
      <c r="F295">
        <v>0</v>
      </c>
      <c r="G295">
        <v>894</v>
      </c>
      <c r="H295">
        <v>0</v>
      </c>
      <c r="I295" t="e">
        <f>ROUND(#REF!/12*3,2)</f>
        <v>#REF!</v>
      </c>
      <c r="J295" t="e">
        <f>ROUND(#REF!/12*3,2)</f>
        <v>#REF!</v>
      </c>
      <c r="K295" s="10"/>
      <c r="L295" s="10"/>
      <c r="M295" s="24">
        <f>2623-100-123</f>
        <v>2400</v>
      </c>
      <c r="N295" s="21">
        <v>0</v>
      </c>
      <c r="O295" s="21"/>
      <c r="P295" s="21"/>
      <c r="Q295" s="14">
        <v>9789.39</v>
      </c>
      <c r="S295">
        <f t="shared" si="199"/>
        <v>9600</v>
      </c>
      <c r="T295">
        <f t="shared" si="199"/>
        <v>0</v>
      </c>
      <c r="U295" s="23">
        <f t="shared" si="177"/>
        <v>9600</v>
      </c>
      <c r="V295" s="23">
        <f t="shared" si="178"/>
        <v>0</v>
      </c>
    </row>
    <row r="296" spans="1:22" s="14" customFormat="1" ht="18.75">
      <c r="A296" s="50">
        <v>6</v>
      </c>
      <c r="B296" s="50" t="s">
        <v>366</v>
      </c>
      <c r="C296" s="51" t="s">
        <v>13</v>
      </c>
      <c r="D296" s="43" t="s">
        <v>367</v>
      </c>
      <c r="E296">
        <v>10255.52</v>
      </c>
      <c r="F296">
        <v>48.82</v>
      </c>
      <c r="G296">
        <v>855</v>
      </c>
      <c r="H296">
        <v>4</v>
      </c>
      <c r="I296" t="e">
        <f>ROUND(#REF!/12*3,2)</f>
        <v>#REF!</v>
      </c>
      <c r="J296" t="e">
        <f>ROUND(#REF!/12*3,2)</f>
        <v>#REF!</v>
      </c>
      <c r="K296" s="10"/>
      <c r="L296" s="10"/>
      <c r="M296" s="24">
        <f>2100-100</f>
        <v>2000</v>
      </c>
      <c r="N296" s="21">
        <v>0</v>
      </c>
      <c r="O296" s="21"/>
      <c r="P296" s="21"/>
      <c r="Q296" s="14">
        <v>8300</v>
      </c>
      <c r="R296" s="14">
        <v>25</v>
      </c>
      <c r="S296">
        <f t="shared" ref="S296:S307" si="200">ROUND(M296/3*12,2)</f>
        <v>8000</v>
      </c>
      <c r="T296">
        <f>ROUND(N296/3*12,2)+4</f>
        <v>4</v>
      </c>
      <c r="U296" s="23">
        <f t="shared" si="177"/>
        <v>8000</v>
      </c>
      <c r="V296" s="23">
        <f t="shared" si="178"/>
        <v>4</v>
      </c>
    </row>
    <row r="297" spans="1:22" ht="18.75">
      <c r="A297" s="50">
        <v>7</v>
      </c>
      <c r="B297" s="50" t="s">
        <v>368</v>
      </c>
      <c r="C297" s="51" t="s">
        <v>213</v>
      </c>
      <c r="D297" s="43" t="s">
        <v>369</v>
      </c>
      <c r="E297">
        <v>8142.77</v>
      </c>
      <c r="F297">
        <v>34.5</v>
      </c>
      <c r="G297">
        <v>679</v>
      </c>
      <c r="H297">
        <v>0</v>
      </c>
      <c r="I297" t="e">
        <f>ROUND(#REF!/12*3,2)</f>
        <v>#REF!</v>
      </c>
      <c r="J297" t="e">
        <f>ROUND(#REF!/12*3,2)</f>
        <v>#REF!</v>
      </c>
      <c r="M297" s="24">
        <f>1950-100-150</f>
        <v>1700</v>
      </c>
      <c r="N297" s="21">
        <v>18.5</v>
      </c>
      <c r="O297" s="21"/>
      <c r="P297" s="21"/>
      <c r="Q297">
        <v>7800</v>
      </c>
      <c r="R297">
        <f>0+18.5</f>
        <v>18.5</v>
      </c>
      <c r="S297">
        <f t="shared" si="200"/>
        <v>6800</v>
      </c>
      <c r="T297">
        <f>ROUND(N297/3*12,2)</f>
        <v>74</v>
      </c>
      <c r="U297" s="23">
        <f t="shared" si="177"/>
        <v>6800</v>
      </c>
      <c r="V297" s="23">
        <f t="shared" si="178"/>
        <v>18.5</v>
      </c>
    </row>
    <row r="298" spans="1:22" ht="18.75">
      <c r="A298" s="50">
        <v>8</v>
      </c>
      <c r="B298" s="50" t="s">
        <v>370</v>
      </c>
      <c r="C298" s="51" t="s">
        <v>241</v>
      </c>
      <c r="D298" s="43" t="s">
        <v>371</v>
      </c>
      <c r="E298">
        <v>7371.71</v>
      </c>
      <c r="F298">
        <v>30.37</v>
      </c>
      <c r="G298">
        <v>614</v>
      </c>
      <c r="H298">
        <v>3</v>
      </c>
      <c r="I298" t="e">
        <f>ROUND(#REF!/12*3,2)</f>
        <v>#REF!</v>
      </c>
      <c r="J298" t="e">
        <f>ROUND(#REF!/12*3,2)</f>
        <v>#REF!</v>
      </c>
      <c r="M298" s="24">
        <f>1593-100</f>
        <v>1493</v>
      </c>
      <c r="N298" s="21">
        <v>0</v>
      </c>
      <c r="O298" s="21"/>
      <c r="P298" s="21"/>
      <c r="Q298">
        <v>8000</v>
      </c>
      <c r="R298">
        <v>30</v>
      </c>
      <c r="S298">
        <f t="shared" si="200"/>
        <v>5972</v>
      </c>
      <c r="T298">
        <f>ROUND(N298/3*12,2)+3</f>
        <v>3</v>
      </c>
      <c r="U298" s="23">
        <f t="shared" si="177"/>
        <v>5972</v>
      </c>
      <c r="V298" s="23">
        <f t="shared" si="178"/>
        <v>3</v>
      </c>
    </row>
    <row r="299" spans="1:22" ht="18.75">
      <c r="A299" s="50">
        <v>9</v>
      </c>
      <c r="B299" s="50" t="s">
        <v>372</v>
      </c>
      <c r="C299" s="51" t="s">
        <v>9</v>
      </c>
      <c r="D299" s="43" t="s">
        <v>373</v>
      </c>
      <c r="E299">
        <v>16457.580000000002</v>
      </c>
      <c r="F299">
        <v>3.45</v>
      </c>
      <c r="G299">
        <v>1371</v>
      </c>
      <c r="H299">
        <v>0</v>
      </c>
      <c r="I299" t="e">
        <f>ROUND(#REF!/12*3,2)</f>
        <v>#REF!</v>
      </c>
      <c r="J299" t="e">
        <f>ROUND(#REF!/12*3,2)</f>
        <v>#REF!</v>
      </c>
      <c r="M299" s="24">
        <f>3550-100-100</f>
        <v>3350</v>
      </c>
      <c r="N299" s="21">
        <v>0</v>
      </c>
      <c r="O299" s="21"/>
      <c r="P299" s="21"/>
      <c r="Q299">
        <v>12775</v>
      </c>
      <c r="R299">
        <v>100</v>
      </c>
      <c r="S299">
        <f t="shared" si="200"/>
        <v>13400</v>
      </c>
      <c r="T299">
        <f t="shared" ref="T299:T307" si="201">ROUND(N299/3*12,2)</f>
        <v>0</v>
      </c>
      <c r="U299" s="23">
        <f t="shared" si="177"/>
        <v>12775</v>
      </c>
      <c r="V299" s="23">
        <f t="shared" si="178"/>
        <v>0</v>
      </c>
    </row>
    <row r="300" spans="1:22" ht="18.75">
      <c r="A300" s="50">
        <v>10</v>
      </c>
      <c r="B300" s="50" t="s">
        <v>374</v>
      </c>
      <c r="C300" s="51" t="s">
        <v>73</v>
      </c>
      <c r="D300" s="43" t="s">
        <v>375</v>
      </c>
      <c r="E300">
        <v>11032.62</v>
      </c>
      <c r="F300">
        <v>0</v>
      </c>
      <c r="G300">
        <v>919</v>
      </c>
      <c r="H300">
        <v>0</v>
      </c>
      <c r="I300" t="e">
        <f>ROUND(#REF!/12*3,2)</f>
        <v>#REF!</v>
      </c>
      <c r="J300" t="e">
        <f>ROUND(#REF!/12*3,2)</f>
        <v>#REF!</v>
      </c>
      <c r="M300" s="24">
        <f>2757-100-100-57</f>
        <v>2500</v>
      </c>
      <c r="N300" s="21">
        <v>0</v>
      </c>
      <c r="O300" s="21"/>
      <c r="P300" s="21"/>
      <c r="Q300">
        <v>9644.99</v>
      </c>
      <c r="S300">
        <f t="shared" si="200"/>
        <v>10000</v>
      </c>
      <c r="T300">
        <f t="shared" si="201"/>
        <v>0</v>
      </c>
      <c r="U300" s="23">
        <f t="shared" si="177"/>
        <v>9644.99</v>
      </c>
      <c r="V300" s="23">
        <f t="shared" si="178"/>
        <v>0</v>
      </c>
    </row>
    <row r="301" spans="1:22" ht="18.75">
      <c r="A301" s="50">
        <v>11</v>
      </c>
      <c r="B301" s="50" t="s">
        <v>376</v>
      </c>
      <c r="C301" s="51" t="s">
        <v>69</v>
      </c>
      <c r="D301" s="43" t="s">
        <v>377</v>
      </c>
      <c r="E301">
        <v>12694.8</v>
      </c>
      <c r="F301">
        <v>66.16</v>
      </c>
      <c r="G301">
        <v>1058</v>
      </c>
      <c r="H301">
        <v>6</v>
      </c>
      <c r="I301" t="e">
        <f>ROUND(#REF!/12*3,2)</f>
        <v>#REF!</v>
      </c>
      <c r="J301" t="e">
        <f>ROUND(#REF!/12*3,2)</f>
        <v>#REF!</v>
      </c>
      <c r="M301" s="24">
        <f>2684.75-100</f>
        <v>2584.75</v>
      </c>
      <c r="N301" s="21">
        <v>15</v>
      </c>
      <c r="O301" s="21"/>
      <c r="P301" s="21"/>
      <c r="Q301">
        <v>10250</v>
      </c>
      <c r="R301">
        <v>45</v>
      </c>
      <c r="S301">
        <f t="shared" si="200"/>
        <v>10339</v>
      </c>
      <c r="T301">
        <f t="shared" si="201"/>
        <v>60</v>
      </c>
      <c r="U301" s="23">
        <f t="shared" si="177"/>
        <v>10250</v>
      </c>
      <c r="V301" s="23">
        <f t="shared" si="178"/>
        <v>45</v>
      </c>
    </row>
    <row r="302" spans="1:22" ht="18.75">
      <c r="A302" s="50">
        <v>12</v>
      </c>
      <c r="B302" s="50" t="s">
        <v>378</v>
      </c>
      <c r="C302" s="51" t="s">
        <v>77</v>
      </c>
      <c r="D302" s="43" t="s">
        <v>379</v>
      </c>
      <c r="E302">
        <v>9189.5300000000007</v>
      </c>
      <c r="F302">
        <v>3.29</v>
      </c>
      <c r="G302">
        <v>766</v>
      </c>
      <c r="H302">
        <v>0</v>
      </c>
      <c r="I302" t="e">
        <f>ROUND(#REF!/12*3,2)</f>
        <v>#REF!</v>
      </c>
      <c r="J302" t="e">
        <f>ROUND(#REF!/12*3,2)</f>
        <v>#REF!</v>
      </c>
      <c r="M302" s="24">
        <f>1892.38-100</f>
        <v>1792.38</v>
      </c>
      <c r="N302" s="21">
        <v>1</v>
      </c>
      <c r="O302" s="21"/>
      <c r="P302" s="21"/>
      <c r="Q302">
        <v>8635.49</v>
      </c>
      <c r="R302">
        <v>6</v>
      </c>
      <c r="S302">
        <f t="shared" si="200"/>
        <v>7169.52</v>
      </c>
      <c r="T302">
        <f t="shared" si="201"/>
        <v>4</v>
      </c>
      <c r="U302" s="23">
        <f t="shared" si="177"/>
        <v>7169.52</v>
      </c>
      <c r="V302" s="23">
        <f t="shared" si="178"/>
        <v>4</v>
      </c>
    </row>
    <row r="303" spans="1:22" ht="18.75" hidden="1">
      <c r="A303" s="47">
        <v>13</v>
      </c>
      <c r="B303" s="47"/>
      <c r="C303" s="54"/>
      <c r="D303" s="49" t="s">
        <v>380</v>
      </c>
      <c r="E303">
        <v>0</v>
      </c>
      <c r="F303">
        <v>0</v>
      </c>
      <c r="G303">
        <v>0</v>
      </c>
      <c r="H303">
        <v>0</v>
      </c>
      <c r="I303" t="e">
        <f>ROUND(#REF!/12*3,2)</f>
        <v>#REF!</v>
      </c>
      <c r="J303" t="e">
        <f>ROUND(#REF!/12*3,2)</f>
        <v>#REF!</v>
      </c>
      <c r="S303">
        <f t="shared" si="200"/>
        <v>0</v>
      </c>
      <c r="T303">
        <f t="shared" si="201"/>
        <v>0</v>
      </c>
      <c r="U303" s="23">
        <f t="shared" si="177"/>
        <v>0</v>
      </c>
      <c r="V303" s="23">
        <f t="shared" si="178"/>
        <v>0</v>
      </c>
    </row>
    <row r="304" spans="1:22" ht="18.75" hidden="1">
      <c r="A304" s="47">
        <v>14</v>
      </c>
      <c r="B304" s="47"/>
      <c r="C304" s="54"/>
      <c r="D304" s="49" t="s">
        <v>381</v>
      </c>
      <c r="E304">
        <v>0</v>
      </c>
      <c r="F304">
        <v>0</v>
      </c>
      <c r="G304">
        <v>0</v>
      </c>
      <c r="H304">
        <v>0</v>
      </c>
      <c r="I304" t="e">
        <f>ROUND(#REF!/12*3,2)</f>
        <v>#REF!</v>
      </c>
      <c r="J304" t="e">
        <f>ROUND(#REF!/12*3,2)</f>
        <v>#REF!</v>
      </c>
      <c r="S304">
        <f t="shared" si="200"/>
        <v>0</v>
      </c>
      <c r="T304">
        <f t="shared" si="201"/>
        <v>0</v>
      </c>
      <c r="U304" s="23">
        <f t="shared" si="177"/>
        <v>0</v>
      </c>
      <c r="V304" s="23">
        <f t="shared" si="178"/>
        <v>0</v>
      </c>
    </row>
    <row r="305" spans="1:22" ht="18.75" hidden="1">
      <c r="A305" s="47">
        <v>15</v>
      </c>
      <c r="B305" s="47"/>
      <c r="C305" s="48"/>
      <c r="D305" s="49" t="s">
        <v>382</v>
      </c>
      <c r="E305">
        <v>0</v>
      </c>
      <c r="F305">
        <v>0</v>
      </c>
      <c r="G305">
        <v>0</v>
      </c>
      <c r="H305">
        <v>0</v>
      </c>
      <c r="I305" t="e">
        <f>ROUND(#REF!/12*3,2)</f>
        <v>#REF!</v>
      </c>
      <c r="J305" t="e">
        <f>ROUND(#REF!/12*3,2)</f>
        <v>#REF!</v>
      </c>
      <c r="S305">
        <f t="shared" si="200"/>
        <v>0</v>
      </c>
      <c r="T305">
        <f t="shared" si="201"/>
        <v>0</v>
      </c>
      <c r="U305" s="23">
        <f t="shared" si="177"/>
        <v>0</v>
      </c>
      <c r="V305" s="23">
        <f t="shared" si="178"/>
        <v>0</v>
      </c>
    </row>
    <row r="306" spans="1:22" ht="18.75" hidden="1">
      <c r="A306" s="47">
        <v>16</v>
      </c>
      <c r="B306" s="47"/>
      <c r="C306" s="48"/>
      <c r="D306" s="49" t="s">
        <v>383</v>
      </c>
      <c r="E306">
        <v>0</v>
      </c>
      <c r="F306">
        <v>0</v>
      </c>
      <c r="G306">
        <v>0</v>
      </c>
      <c r="H306">
        <v>0</v>
      </c>
      <c r="I306" t="e">
        <f>ROUND(#REF!/12*3,2)</f>
        <v>#REF!</v>
      </c>
      <c r="J306" t="e">
        <f>ROUND(#REF!/12*3,2)</f>
        <v>#REF!</v>
      </c>
      <c r="S306">
        <f t="shared" si="200"/>
        <v>0</v>
      </c>
      <c r="T306">
        <f t="shared" si="201"/>
        <v>0</v>
      </c>
      <c r="U306" s="23">
        <f t="shared" si="177"/>
        <v>0</v>
      </c>
      <c r="V306" s="23">
        <f t="shared" si="178"/>
        <v>0</v>
      </c>
    </row>
    <row r="307" spans="1:22" ht="18.75" hidden="1">
      <c r="A307" s="47">
        <v>17</v>
      </c>
      <c r="B307" s="47"/>
      <c r="C307" s="48"/>
      <c r="D307" s="49" t="s">
        <v>384</v>
      </c>
      <c r="E307">
        <v>0</v>
      </c>
      <c r="F307">
        <v>0</v>
      </c>
      <c r="G307">
        <v>0</v>
      </c>
      <c r="H307">
        <v>0</v>
      </c>
      <c r="I307" t="e">
        <f>ROUND(#REF!/12*3,2)</f>
        <v>#REF!</v>
      </c>
      <c r="J307" t="e">
        <f>ROUND(#REF!/12*3,2)</f>
        <v>#REF!</v>
      </c>
      <c r="S307">
        <f t="shared" si="200"/>
        <v>0</v>
      </c>
      <c r="T307">
        <f t="shared" si="201"/>
        <v>0</v>
      </c>
      <c r="U307" s="23">
        <f t="shared" si="177"/>
        <v>0</v>
      </c>
      <c r="V307" s="23">
        <f t="shared" si="178"/>
        <v>0</v>
      </c>
    </row>
    <row r="308" spans="1:22" ht="18.75">
      <c r="A308" s="50"/>
      <c r="B308" s="50"/>
      <c r="C308" s="51"/>
      <c r="D308" s="43" t="s">
        <v>385</v>
      </c>
      <c r="E308" s="4">
        <f t="shared" ref="E308:R308" si="202">+E307+E306+E305+E304+E303+E302+E301+E300+E299+E298+E297+E296+E295+E294+E291+E292+E293</f>
        <v>128637.27000000002</v>
      </c>
      <c r="F308" s="4">
        <f t="shared" si="202"/>
        <v>210.35</v>
      </c>
      <c r="G308" s="4">
        <f t="shared" si="202"/>
        <v>10721</v>
      </c>
      <c r="H308" s="4">
        <f t="shared" si="202"/>
        <v>19</v>
      </c>
      <c r="I308" s="4" t="e">
        <f t="shared" si="202"/>
        <v>#REF!</v>
      </c>
      <c r="J308" s="18" t="e">
        <f t="shared" si="202"/>
        <v>#REF!</v>
      </c>
      <c r="K308" s="4">
        <f t="shared" si="202"/>
        <v>0</v>
      </c>
      <c r="L308" s="4">
        <f t="shared" si="202"/>
        <v>0</v>
      </c>
      <c r="M308" s="4">
        <f t="shared" si="202"/>
        <v>26668.13</v>
      </c>
      <c r="N308" s="4">
        <f t="shared" si="202"/>
        <v>57.5</v>
      </c>
      <c r="O308" s="4">
        <f t="shared" si="202"/>
        <v>0</v>
      </c>
      <c r="P308" s="4">
        <f t="shared" si="202"/>
        <v>0</v>
      </c>
      <c r="Q308" s="4">
        <f t="shared" si="202"/>
        <v>110494.87</v>
      </c>
      <c r="R308" s="4">
        <f t="shared" si="202"/>
        <v>387.5</v>
      </c>
      <c r="S308" s="4">
        <f t="shared" ref="S308:V308" si="203">+S307+S306+S305+S304+S303+S302+S301+S300+S299+S298+S297+S296+S295+S294+S291+S292+S293</f>
        <v>106672.52</v>
      </c>
      <c r="T308" s="18">
        <f t="shared" si="203"/>
        <v>237</v>
      </c>
      <c r="U308" s="35">
        <f t="shared" si="203"/>
        <v>103503.51000000001</v>
      </c>
      <c r="V308" s="35">
        <f t="shared" si="203"/>
        <v>219.5</v>
      </c>
    </row>
    <row r="309" spans="1:22" ht="18.75">
      <c r="A309" s="50"/>
      <c r="B309" s="50" t="s">
        <v>386</v>
      </c>
      <c r="C309" s="51" t="s">
        <v>32</v>
      </c>
      <c r="D309" s="43" t="s">
        <v>387</v>
      </c>
      <c r="E309">
        <v>0</v>
      </c>
      <c r="F309">
        <v>0</v>
      </c>
      <c r="G309">
        <v>0</v>
      </c>
      <c r="H309">
        <v>0</v>
      </c>
      <c r="I309" t="e">
        <f>ROUND(#REF!/12*3,2)</f>
        <v>#REF!</v>
      </c>
      <c r="J309" t="e">
        <f>ROUND(#REF!/12*3,2)</f>
        <v>#REF!</v>
      </c>
      <c r="S309">
        <f>ROUND(M309/3*12,2)</f>
        <v>0</v>
      </c>
      <c r="T309">
        <f>ROUND(N309/3*12,2)</f>
        <v>0</v>
      </c>
      <c r="U309" s="23">
        <f t="shared" si="177"/>
        <v>0</v>
      </c>
      <c r="V309" s="23">
        <f t="shared" si="178"/>
        <v>0</v>
      </c>
    </row>
    <row r="310" spans="1:22" ht="20.45" customHeight="1">
      <c r="A310" s="50"/>
      <c r="B310" s="50"/>
      <c r="C310" s="51"/>
      <c r="D310" s="43" t="s">
        <v>388</v>
      </c>
      <c r="E310" s="6">
        <f t="shared" ref="E310:R310" si="204">+E309+E308+E290+E288+E271+E265+E262+E240+E223+E225+E185+E135+E89</f>
        <v>434276.76</v>
      </c>
      <c r="F310" s="6">
        <f t="shared" si="204"/>
        <v>159237.08999999997</v>
      </c>
      <c r="G310" s="6">
        <f t="shared" si="204"/>
        <v>36414</v>
      </c>
      <c r="H310" s="6">
        <f t="shared" si="204"/>
        <v>14105</v>
      </c>
      <c r="I310" s="6" t="e">
        <f t="shared" si="204"/>
        <v>#REF!</v>
      </c>
      <c r="J310" s="17" t="e">
        <f t="shared" si="204"/>
        <v>#REF!</v>
      </c>
      <c r="K310" s="6">
        <f t="shared" si="204"/>
        <v>0</v>
      </c>
      <c r="L310" s="6">
        <f t="shared" si="204"/>
        <v>0</v>
      </c>
      <c r="M310" s="6">
        <f t="shared" si="204"/>
        <v>101242.32</v>
      </c>
      <c r="N310" s="6">
        <f t="shared" si="204"/>
        <v>35768.5</v>
      </c>
      <c r="O310" s="6">
        <f t="shared" si="204"/>
        <v>50</v>
      </c>
      <c r="P310" s="6">
        <f t="shared" si="204"/>
        <v>771.7</v>
      </c>
      <c r="Q310" s="6">
        <f t="shared" si="204"/>
        <v>425715.27999999997</v>
      </c>
      <c r="R310" s="6">
        <f t="shared" si="204"/>
        <v>148096.91999999998</v>
      </c>
      <c r="S310" s="6">
        <f t="shared" ref="S310:V310" si="205">+S309+S308+S290+S288+S271+S265+S262+S240+S223+S225+S185+S135+S89</f>
        <v>404969.28</v>
      </c>
      <c r="T310" s="17">
        <f t="shared" si="205"/>
        <v>144884.32</v>
      </c>
      <c r="U310" s="34">
        <f t="shared" si="205"/>
        <v>392594</v>
      </c>
      <c r="V310" s="34">
        <f t="shared" si="205"/>
        <v>139402</v>
      </c>
    </row>
    <row r="311" spans="1:22">
      <c r="U311" s="9"/>
      <c r="V311" s="9"/>
    </row>
    <row r="312" spans="1:22">
      <c r="L312" s="10" t="s">
        <v>406</v>
      </c>
      <c r="M312" s="10">
        <v>103152</v>
      </c>
      <c r="N312" s="10">
        <f>146875*25%</f>
        <v>36718.75</v>
      </c>
      <c r="O312" s="10">
        <f>148875*25%</f>
        <v>37218.75</v>
      </c>
      <c r="P312" s="10">
        <f>P310+N310</f>
        <v>36540.199999999997</v>
      </c>
      <c r="U312" s="9"/>
      <c r="V312" s="9"/>
    </row>
    <row r="313" spans="1:22">
      <c r="L313" s="10" t="s">
        <v>409</v>
      </c>
      <c r="M313" s="10">
        <f>+M312-M310-O310</f>
        <v>1859.679999999993</v>
      </c>
      <c r="N313" s="10">
        <f>+N312-N310-P310</f>
        <v>178.54999999999995</v>
      </c>
      <c r="O313" s="10">
        <f>+O312-N312</f>
        <v>500</v>
      </c>
    </row>
    <row r="314" spans="1:22">
      <c r="J314" s="9" t="e">
        <f>+N312-J310</f>
        <v>#REF!</v>
      </c>
      <c r="M314" s="10">
        <f>+M312-M310-O310</f>
        <v>1859.679999999993</v>
      </c>
    </row>
    <row r="315" spans="1:22">
      <c r="N315" s="10">
        <f>42774.5-N312</f>
        <v>6055.75</v>
      </c>
      <c r="O315" s="10">
        <f>+O312-P312</f>
        <v>678.55000000000291</v>
      </c>
      <c r="P315" s="10">
        <f>120+62.95+22+200</f>
        <v>404.95</v>
      </c>
    </row>
    <row r="316" spans="1:22">
      <c r="E316" s="9"/>
      <c r="P316" s="10">
        <f>+O315-P315</f>
        <v>273.60000000000292</v>
      </c>
    </row>
    <row r="319" spans="1:22" hidden="1"/>
    <row r="320" spans="1:22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spans="14:14" hidden="1"/>
    <row r="338" spans="14:14">
      <c r="N338" s="10">
        <f>+N310+P310</f>
        <v>36540.199999999997</v>
      </c>
    </row>
    <row r="339" spans="14:14">
      <c r="N339" s="10">
        <f>+O312-N338</f>
        <v>678.55000000000291</v>
      </c>
    </row>
    <row r="340" spans="14:14">
      <c r="N340" s="10">
        <f>+N339-404.95</f>
        <v>273.60000000000292</v>
      </c>
    </row>
  </sheetData>
  <sheetProtection password="C172" sheet="1" objects="1" scenarios="1"/>
  <mergeCells count="7">
    <mergeCell ref="U3:V3"/>
    <mergeCell ref="O3:P3"/>
    <mergeCell ref="M3:N3"/>
    <mergeCell ref="I3:J3"/>
    <mergeCell ref="G2:H2"/>
    <mergeCell ref="Q3:R3"/>
    <mergeCell ref="S3:T3"/>
  </mergeCells>
  <conditionalFormatting sqref="E290:V290">
    <cfRule type="cellIs" dxfId="0" priority="5" operator="lessThan">
      <formula>0</formula>
    </cfRule>
  </conditionalFormatting>
  <pageMargins left="0.7" right="0.7" top="0.75" bottom="0.75" header="0.3" footer="0.3"/>
  <pageSetup scale="60" orientation="portrait" r:id="rId1"/>
  <colBreaks count="1" manualBreakCount="1">
    <brk id="16" max="3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2022-06-17T10:49:24Z</dcterms:modified>
</cp:coreProperties>
</file>