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-105" yWindow="-105" windowWidth="20730" windowHeight="11760"/>
  </bookViews>
  <sheets>
    <sheet name="Sheet1" sheetId="1" r:id="rId1"/>
  </sheets>
  <definedNames>
    <definedName name="_xlnm.Print_Area" localSheetId="0">Sheet1!$A$1:$N$310</definedName>
    <definedName name="_xlnm.Print_Titles" localSheetId="0">Sheet1!$2:$4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3" i="1"/>
  <c r="J273"/>
  <c r="L273" s="1"/>
  <c r="K273"/>
  <c r="I274"/>
  <c r="J274"/>
  <c r="L274" s="1"/>
  <c r="K274"/>
  <c r="I275"/>
  <c r="K275" s="1"/>
  <c r="J275"/>
  <c r="L275" s="1"/>
  <c r="I276"/>
  <c r="K276" s="1"/>
  <c r="J276"/>
  <c r="L276" s="1"/>
  <c r="I277"/>
  <c r="J277"/>
  <c r="L277" s="1"/>
  <c r="K277"/>
  <c r="I278"/>
  <c r="J278"/>
  <c r="L278" s="1"/>
  <c r="K278"/>
  <c r="I279"/>
  <c r="K279" s="1"/>
  <c r="J279"/>
  <c r="L279" s="1"/>
  <c r="I280"/>
  <c r="K280" s="1"/>
  <c r="J280"/>
  <c r="L280" s="1"/>
  <c r="I281"/>
  <c r="J281"/>
  <c r="L281" s="1"/>
  <c r="K281"/>
  <c r="I282"/>
  <c r="J282"/>
  <c r="L282" s="1"/>
  <c r="K282"/>
  <c r="I283"/>
  <c r="K283" s="1"/>
  <c r="J283"/>
  <c r="L283" s="1"/>
  <c r="I284"/>
  <c r="K284" s="1"/>
  <c r="J284"/>
  <c r="L284" s="1"/>
  <c r="I285"/>
  <c r="J285"/>
  <c r="L285" s="1"/>
  <c r="K285"/>
  <c r="E286"/>
  <c r="F286"/>
  <c r="G286"/>
  <c r="H286"/>
  <c r="K29"/>
  <c r="L29"/>
  <c r="K290"/>
  <c r="E5"/>
  <c r="I5" s="1"/>
  <c r="K5" s="1"/>
  <c r="F5"/>
  <c r="J5" s="1"/>
  <c r="L5" s="1"/>
  <c r="I6"/>
  <c r="K6" s="1"/>
  <c r="J6"/>
  <c r="L6" s="1"/>
  <c r="E7"/>
  <c r="F7"/>
  <c r="G7"/>
  <c r="H7"/>
  <c r="E8"/>
  <c r="I8" s="1"/>
  <c r="K8" s="1"/>
  <c r="J8"/>
  <c r="I9"/>
  <c r="K9" s="1"/>
  <c r="J9"/>
  <c r="L9" s="1"/>
  <c r="E10"/>
  <c r="F10"/>
  <c r="G10"/>
  <c r="H10"/>
  <c r="E11"/>
  <c r="I11" s="1"/>
  <c r="K11" s="1"/>
  <c r="F11"/>
  <c r="J11" s="1"/>
  <c r="I12"/>
  <c r="K12" s="1"/>
  <c r="J12"/>
  <c r="L12" s="1"/>
  <c r="G13"/>
  <c r="H13"/>
  <c r="F14"/>
  <c r="J14" s="1"/>
  <c r="L14" s="1"/>
  <c r="L16" s="1"/>
  <c r="I14"/>
  <c r="K14" s="1"/>
  <c r="E15"/>
  <c r="I15" s="1"/>
  <c r="K15" s="1"/>
  <c r="J15"/>
  <c r="L15" s="1"/>
  <c r="G16"/>
  <c r="H16"/>
  <c r="F17"/>
  <c r="J17" s="1"/>
  <c r="L17" s="1"/>
  <c r="I17"/>
  <c r="K17" s="1"/>
  <c r="I18"/>
  <c r="K18" s="1"/>
  <c r="J18"/>
  <c r="L18" s="1"/>
  <c r="I19"/>
  <c r="K19" s="1"/>
  <c r="J19"/>
  <c r="L19" s="1"/>
  <c r="I20"/>
  <c r="K20" s="1"/>
  <c r="J20"/>
  <c r="L20" s="1"/>
  <c r="I21"/>
  <c r="K21" s="1"/>
  <c r="J21"/>
  <c r="L21" s="1"/>
  <c r="I22"/>
  <c r="K22" s="1"/>
  <c r="J22"/>
  <c r="L22" s="1"/>
  <c r="I23"/>
  <c r="K23" s="1"/>
  <c r="J23"/>
  <c r="L23" s="1"/>
  <c r="E24"/>
  <c r="E26" s="1"/>
  <c r="G24"/>
  <c r="G26" s="1"/>
  <c r="H24"/>
  <c r="H26" s="1"/>
  <c r="I25"/>
  <c r="K25" s="1"/>
  <c r="J25"/>
  <c r="L25" s="1"/>
  <c r="I27"/>
  <c r="J27"/>
  <c r="I28"/>
  <c r="J28"/>
  <c r="E29"/>
  <c r="F29"/>
  <c r="G29"/>
  <c r="H29"/>
  <c r="F30"/>
  <c r="J30" s="1"/>
  <c r="I30"/>
  <c r="K30" s="1"/>
  <c r="I31"/>
  <c r="K31" s="1"/>
  <c r="J31"/>
  <c r="L31" s="1"/>
  <c r="E32"/>
  <c r="I32" s="1"/>
  <c r="K32" s="1"/>
  <c r="J32"/>
  <c r="L32" s="1"/>
  <c r="G33"/>
  <c r="H33"/>
  <c r="E34"/>
  <c r="I34" s="1"/>
  <c r="K34" s="1"/>
  <c r="F34"/>
  <c r="J34" s="1"/>
  <c r="L34" s="1"/>
  <c r="L36" s="1"/>
  <c r="I35"/>
  <c r="K35" s="1"/>
  <c r="J35"/>
  <c r="L35" s="1"/>
  <c r="G36"/>
  <c r="H36"/>
  <c r="H37"/>
  <c r="I37"/>
  <c r="K37" s="1"/>
  <c r="J37"/>
  <c r="I38"/>
  <c r="K38" s="1"/>
  <c r="J38"/>
  <c r="E39"/>
  <c r="F39"/>
  <c r="G39"/>
  <c r="H39"/>
  <c r="I40"/>
  <c r="K40" s="1"/>
  <c r="J40"/>
  <c r="E41"/>
  <c r="I41" s="1"/>
  <c r="I43" s="1"/>
  <c r="J41"/>
  <c r="L41" s="1"/>
  <c r="I42"/>
  <c r="K42" s="1"/>
  <c r="J42"/>
  <c r="L42" s="1"/>
  <c r="F43"/>
  <c r="G43"/>
  <c r="H43"/>
  <c r="F44"/>
  <c r="J44" s="1"/>
  <c r="L44" s="1"/>
  <c r="I44"/>
  <c r="K44" s="1"/>
  <c r="F45"/>
  <c r="J45" s="1"/>
  <c r="L45" s="1"/>
  <c r="I45"/>
  <c r="K45" s="1"/>
  <c r="E46"/>
  <c r="E49" s="1"/>
  <c r="F46"/>
  <c r="J46" s="1"/>
  <c r="I47"/>
  <c r="K47" s="1"/>
  <c r="J47"/>
  <c r="L47" s="1"/>
  <c r="I48"/>
  <c r="K48" s="1"/>
  <c r="J48"/>
  <c r="L48" s="1"/>
  <c r="G49"/>
  <c r="H49"/>
  <c r="F50"/>
  <c r="F52" s="1"/>
  <c r="I50"/>
  <c r="K50" s="1"/>
  <c r="E51"/>
  <c r="I51" s="1"/>
  <c r="K51" s="1"/>
  <c r="J51"/>
  <c r="L51" s="1"/>
  <c r="G52"/>
  <c r="H52"/>
  <c r="I53"/>
  <c r="J53"/>
  <c r="I54"/>
  <c r="K54" s="1"/>
  <c r="J54"/>
  <c r="L54" s="1"/>
  <c r="I55"/>
  <c r="K55" s="1"/>
  <c r="J55"/>
  <c r="L55" s="1"/>
  <c r="E56"/>
  <c r="F56"/>
  <c r="G56"/>
  <c r="H56"/>
  <c r="I57"/>
  <c r="K57" s="1"/>
  <c r="J57"/>
  <c r="L57" s="1"/>
  <c r="I58"/>
  <c r="I59" s="1"/>
  <c r="J58"/>
  <c r="L58" s="1"/>
  <c r="E59"/>
  <c r="F59"/>
  <c r="G59"/>
  <c r="H59"/>
  <c r="E60"/>
  <c r="I60" s="1"/>
  <c r="K60" s="1"/>
  <c r="K62" s="1"/>
  <c r="F60"/>
  <c r="J60" s="1"/>
  <c r="H60"/>
  <c r="H62" s="1"/>
  <c r="E61"/>
  <c r="I61" s="1"/>
  <c r="K61" s="1"/>
  <c r="J61"/>
  <c r="L61" s="1"/>
  <c r="F62"/>
  <c r="G62"/>
  <c r="F63"/>
  <c r="J63" s="1"/>
  <c r="L63" s="1"/>
  <c r="L65" s="1"/>
  <c r="I63"/>
  <c r="K63" s="1"/>
  <c r="E64"/>
  <c r="I64" s="1"/>
  <c r="K64" s="1"/>
  <c r="J64"/>
  <c r="L64" s="1"/>
  <c r="G65"/>
  <c r="H65"/>
  <c r="I66"/>
  <c r="K66" s="1"/>
  <c r="J66"/>
  <c r="L66" s="1"/>
  <c r="I67"/>
  <c r="J67"/>
  <c r="J68" s="1"/>
  <c r="E68"/>
  <c r="F68"/>
  <c r="G68"/>
  <c r="H68"/>
  <c r="E69"/>
  <c r="I69" s="1"/>
  <c r="K69" s="1"/>
  <c r="K71" s="1"/>
  <c r="J69"/>
  <c r="L69" s="1"/>
  <c r="I70"/>
  <c r="K70" s="1"/>
  <c r="J70"/>
  <c r="L70" s="1"/>
  <c r="F71"/>
  <c r="G71"/>
  <c r="H71"/>
  <c r="F72"/>
  <c r="J72" s="1"/>
  <c r="L72" s="1"/>
  <c r="I72"/>
  <c r="I73"/>
  <c r="K73" s="1"/>
  <c r="J73"/>
  <c r="L73" s="1"/>
  <c r="I74"/>
  <c r="K74" s="1"/>
  <c r="J74"/>
  <c r="L74" s="1"/>
  <c r="E75"/>
  <c r="G75"/>
  <c r="H75"/>
  <c r="F76"/>
  <c r="J76" s="1"/>
  <c r="I76"/>
  <c r="K76" s="1"/>
  <c r="I77"/>
  <c r="K77" s="1"/>
  <c r="J77"/>
  <c r="L77" s="1"/>
  <c r="I78"/>
  <c r="K78" s="1"/>
  <c r="J78"/>
  <c r="L78" s="1"/>
  <c r="E79"/>
  <c r="G79"/>
  <c r="H79"/>
  <c r="F80"/>
  <c r="J80" s="1"/>
  <c r="J82" s="1"/>
  <c r="I80"/>
  <c r="K80" s="1"/>
  <c r="I81"/>
  <c r="K81" s="1"/>
  <c r="J81"/>
  <c r="L81" s="1"/>
  <c r="E82"/>
  <c r="G82"/>
  <c r="H82"/>
  <c r="E83"/>
  <c r="I83" s="1"/>
  <c r="K83" s="1"/>
  <c r="J83"/>
  <c r="L83" s="1"/>
  <c r="E84"/>
  <c r="I84" s="1"/>
  <c r="K84" s="1"/>
  <c r="J84"/>
  <c r="L84" s="1"/>
  <c r="F85"/>
  <c r="G85"/>
  <c r="H85"/>
  <c r="I86"/>
  <c r="K86" s="1"/>
  <c r="J86"/>
  <c r="L86" s="1"/>
  <c r="I87"/>
  <c r="J87"/>
  <c r="L87" s="1"/>
  <c r="I88"/>
  <c r="K88" s="1"/>
  <c r="J88"/>
  <c r="L88" s="1"/>
  <c r="E90"/>
  <c r="I90" s="1"/>
  <c r="K90" s="1"/>
  <c r="F90"/>
  <c r="J90" s="1"/>
  <c r="L90" s="1"/>
  <c r="I91"/>
  <c r="K91" s="1"/>
  <c r="J91"/>
  <c r="L91" s="1"/>
  <c r="I92"/>
  <c r="K92" s="1"/>
  <c r="J92"/>
  <c r="L92" s="1"/>
  <c r="E93"/>
  <c r="F93"/>
  <c r="G93"/>
  <c r="H93"/>
  <c r="J93"/>
  <c r="I94"/>
  <c r="K94" s="1"/>
  <c r="J94"/>
  <c r="L94" s="1"/>
  <c r="I95"/>
  <c r="K95" s="1"/>
  <c r="J95"/>
  <c r="L95" s="1"/>
  <c r="F96"/>
  <c r="J96" s="1"/>
  <c r="L96" s="1"/>
  <c r="I96"/>
  <c r="K96" s="1"/>
  <c r="E97"/>
  <c r="I97" s="1"/>
  <c r="K97" s="1"/>
  <c r="J97"/>
  <c r="L97" s="1"/>
  <c r="F98"/>
  <c r="G98"/>
  <c r="H98"/>
  <c r="F99"/>
  <c r="J99" s="1"/>
  <c r="J101" s="1"/>
  <c r="I99"/>
  <c r="K99" s="1"/>
  <c r="I100"/>
  <c r="J100"/>
  <c r="L100" s="1"/>
  <c r="E101"/>
  <c r="G101"/>
  <c r="H101"/>
  <c r="F102"/>
  <c r="J102" s="1"/>
  <c r="I102"/>
  <c r="K102" s="1"/>
  <c r="I103"/>
  <c r="K103" s="1"/>
  <c r="J103"/>
  <c r="L103" s="1"/>
  <c r="E104"/>
  <c r="G104"/>
  <c r="H104"/>
  <c r="F105"/>
  <c r="J105" s="1"/>
  <c r="L105" s="1"/>
  <c r="I105"/>
  <c r="I106"/>
  <c r="K106" s="1"/>
  <c r="J106"/>
  <c r="L106" s="1"/>
  <c r="E107"/>
  <c r="F107"/>
  <c r="G107"/>
  <c r="H107"/>
  <c r="F108"/>
  <c r="F110" s="1"/>
  <c r="I108"/>
  <c r="K108" s="1"/>
  <c r="E109"/>
  <c r="I109" s="1"/>
  <c r="K109" s="1"/>
  <c r="J109"/>
  <c r="L109" s="1"/>
  <c r="G110"/>
  <c r="H110"/>
  <c r="I111"/>
  <c r="K111" s="1"/>
  <c r="J111"/>
  <c r="L111" s="1"/>
  <c r="E112"/>
  <c r="E113" s="1"/>
  <c r="J112"/>
  <c r="L112" s="1"/>
  <c r="F113"/>
  <c r="G113"/>
  <c r="H113"/>
  <c r="J113"/>
  <c r="I114"/>
  <c r="K114" s="1"/>
  <c r="J114"/>
  <c r="L114" s="1"/>
  <c r="F115"/>
  <c r="J115" s="1"/>
  <c r="L115" s="1"/>
  <c r="I115"/>
  <c r="K115" s="1"/>
  <c r="E116"/>
  <c r="I116" s="1"/>
  <c r="K116" s="1"/>
  <c r="J116"/>
  <c r="L116" s="1"/>
  <c r="G117"/>
  <c r="H117"/>
  <c r="E118"/>
  <c r="I118" s="1"/>
  <c r="K118" s="1"/>
  <c r="F118"/>
  <c r="J118" s="1"/>
  <c r="L118" s="1"/>
  <c r="I119"/>
  <c r="K119" s="1"/>
  <c r="J119"/>
  <c r="L119" s="1"/>
  <c r="I120"/>
  <c r="K120" s="1"/>
  <c r="J120"/>
  <c r="L120" s="1"/>
  <c r="I121"/>
  <c r="J121"/>
  <c r="L121" s="1"/>
  <c r="E122"/>
  <c r="F122"/>
  <c r="G122"/>
  <c r="H122"/>
  <c r="I123"/>
  <c r="K123" s="1"/>
  <c r="J123"/>
  <c r="L123" s="1"/>
  <c r="I124"/>
  <c r="K124" s="1"/>
  <c r="J124"/>
  <c r="L124" s="1"/>
  <c r="E125"/>
  <c r="F125"/>
  <c r="G125"/>
  <c r="H125"/>
  <c r="I126"/>
  <c r="K126" s="1"/>
  <c r="J126"/>
  <c r="L126" s="1"/>
  <c r="E127"/>
  <c r="I127" s="1"/>
  <c r="K127" s="1"/>
  <c r="F127"/>
  <c r="J127" s="1"/>
  <c r="L127" s="1"/>
  <c r="I128"/>
  <c r="K128" s="1"/>
  <c r="J128"/>
  <c r="L128" s="1"/>
  <c r="I129"/>
  <c r="K129" s="1"/>
  <c r="J129"/>
  <c r="L129" s="1"/>
  <c r="I130"/>
  <c r="K130" s="1"/>
  <c r="J130"/>
  <c r="L130" s="1"/>
  <c r="I131"/>
  <c r="K131" s="1"/>
  <c r="J131"/>
  <c r="L131" s="1"/>
  <c r="I132"/>
  <c r="K132" s="1"/>
  <c r="J132"/>
  <c r="E133"/>
  <c r="I133" s="1"/>
  <c r="J133"/>
  <c r="L133" s="1"/>
  <c r="E134"/>
  <c r="F134"/>
  <c r="G134"/>
  <c r="H134"/>
  <c r="I136"/>
  <c r="K136" s="1"/>
  <c r="J136"/>
  <c r="L136" s="1"/>
  <c r="I137"/>
  <c r="K137" s="1"/>
  <c r="J137"/>
  <c r="L137" s="1"/>
  <c r="I138"/>
  <c r="I139" s="1"/>
  <c r="J138"/>
  <c r="E139"/>
  <c r="F139"/>
  <c r="G139"/>
  <c r="H139"/>
  <c r="I140"/>
  <c r="K140" s="1"/>
  <c r="J140"/>
  <c r="L140" s="1"/>
  <c r="I141"/>
  <c r="K141" s="1"/>
  <c r="J141"/>
  <c r="L141" s="1"/>
  <c r="E142"/>
  <c r="F142"/>
  <c r="G142"/>
  <c r="H142"/>
  <c r="E143"/>
  <c r="I143" s="1"/>
  <c r="J143"/>
  <c r="L143" s="1"/>
  <c r="I144"/>
  <c r="K144" s="1"/>
  <c r="J144"/>
  <c r="L144" s="1"/>
  <c r="I145"/>
  <c r="K145" s="1"/>
  <c r="J145"/>
  <c r="L145" s="1"/>
  <c r="E146"/>
  <c r="F146"/>
  <c r="G146"/>
  <c r="H146"/>
  <c r="F147"/>
  <c r="J147" s="1"/>
  <c r="L147" s="1"/>
  <c r="I147"/>
  <c r="I148"/>
  <c r="K148" s="1"/>
  <c r="J148"/>
  <c r="L148" s="1"/>
  <c r="I149"/>
  <c r="K149" s="1"/>
  <c r="J149"/>
  <c r="L149" s="1"/>
  <c r="I150"/>
  <c r="K150" s="1"/>
  <c r="J150"/>
  <c r="L150" s="1"/>
  <c r="I151"/>
  <c r="K151" s="1"/>
  <c r="J151"/>
  <c r="L151" s="1"/>
  <c r="I152"/>
  <c r="K152" s="1"/>
  <c r="J152"/>
  <c r="L152" s="1"/>
  <c r="I153"/>
  <c r="K153" s="1"/>
  <c r="J153"/>
  <c r="L153" s="1"/>
  <c r="I154"/>
  <c r="K154" s="1"/>
  <c r="J154"/>
  <c r="L154" s="1"/>
  <c r="I155"/>
  <c r="K155" s="1"/>
  <c r="J155"/>
  <c r="L155" s="1"/>
  <c r="E156"/>
  <c r="G156"/>
  <c r="H156"/>
  <c r="I157"/>
  <c r="K157" s="1"/>
  <c r="J157"/>
  <c r="L157" s="1"/>
  <c r="F158"/>
  <c r="J158" s="1"/>
  <c r="L158" s="1"/>
  <c r="I158"/>
  <c r="K158" s="1"/>
  <c r="I159"/>
  <c r="J159"/>
  <c r="L159" s="1"/>
  <c r="E160"/>
  <c r="G160"/>
  <c r="H160"/>
  <c r="F161"/>
  <c r="J161" s="1"/>
  <c r="I161"/>
  <c r="I162"/>
  <c r="K162" s="1"/>
  <c r="J162"/>
  <c r="L162" s="1"/>
  <c r="I163"/>
  <c r="I164" s="1"/>
  <c r="J163"/>
  <c r="L163" s="1"/>
  <c r="E164"/>
  <c r="F164"/>
  <c r="G164"/>
  <c r="H164"/>
  <c r="F165"/>
  <c r="J165" s="1"/>
  <c r="L165" s="1"/>
  <c r="I165"/>
  <c r="K165" s="1"/>
  <c r="I166"/>
  <c r="K166" s="1"/>
  <c r="J166"/>
  <c r="L166" s="1"/>
  <c r="L168" s="1"/>
  <c r="I167"/>
  <c r="J167"/>
  <c r="L167" s="1"/>
  <c r="E168"/>
  <c r="F168"/>
  <c r="G168"/>
  <c r="H168"/>
  <c r="I169"/>
  <c r="K169" s="1"/>
  <c r="J169"/>
  <c r="L169" s="1"/>
  <c r="F170"/>
  <c r="I170"/>
  <c r="K170" s="1"/>
  <c r="J170"/>
  <c r="L170" s="1"/>
  <c r="I171"/>
  <c r="K171" s="1"/>
  <c r="J171"/>
  <c r="L171" s="1"/>
  <c r="I172"/>
  <c r="K172" s="1"/>
  <c r="J172"/>
  <c r="L172" s="1"/>
  <c r="I173"/>
  <c r="K173" s="1"/>
  <c r="J173"/>
  <c r="L173" s="1"/>
  <c r="E174"/>
  <c r="F174"/>
  <c r="G174"/>
  <c r="H174"/>
  <c r="I174"/>
  <c r="J174"/>
  <c r="I175"/>
  <c r="K175" s="1"/>
  <c r="J175"/>
  <c r="L175" s="1"/>
  <c r="I176"/>
  <c r="K176" s="1"/>
  <c r="J176"/>
  <c r="L176" s="1"/>
  <c r="F177"/>
  <c r="J177" s="1"/>
  <c r="H177"/>
  <c r="I177"/>
  <c r="I178"/>
  <c r="K178" s="1"/>
  <c r="J178"/>
  <c r="L178" s="1"/>
  <c r="E179"/>
  <c r="F179"/>
  <c r="G179"/>
  <c r="H179"/>
  <c r="E180"/>
  <c r="I180" s="1"/>
  <c r="K180" s="1"/>
  <c r="J180"/>
  <c r="L180" s="1"/>
  <c r="I181"/>
  <c r="K181" s="1"/>
  <c r="J181"/>
  <c r="L181" s="1"/>
  <c r="I182"/>
  <c r="K182" s="1"/>
  <c r="J182"/>
  <c r="L182" s="1"/>
  <c r="I183"/>
  <c r="K183" s="1"/>
  <c r="J183"/>
  <c r="E184"/>
  <c r="F184"/>
  <c r="G184"/>
  <c r="H184"/>
  <c r="F186"/>
  <c r="J186" s="1"/>
  <c r="J187" s="1"/>
  <c r="I186"/>
  <c r="I187" s="1"/>
  <c r="E187"/>
  <c r="G187"/>
  <c r="H187"/>
  <c r="F188"/>
  <c r="J188" s="1"/>
  <c r="L188" s="1"/>
  <c r="I188"/>
  <c r="K188" s="1"/>
  <c r="I189"/>
  <c r="K189" s="1"/>
  <c r="J189"/>
  <c r="L189" s="1"/>
  <c r="I190"/>
  <c r="K190" s="1"/>
  <c r="J190"/>
  <c r="L190" s="1"/>
  <c r="E191"/>
  <c r="F191"/>
  <c r="G191"/>
  <c r="H191"/>
  <c r="I192"/>
  <c r="K192" s="1"/>
  <c r="J192"/>
  <c r="L192" s="1"/>
  <c r="I193"/>
  <c r="K193" s="1"/>
  <c r="J193"/>
  <c r="L193" s="1"/>
  <c r="I194"/>
  <c r="K194" s="1"/>
  <c r="J194"/>
  <c r="L194" s="1"/>
  <c r="E195"/>
  <c r="F195"/>
  <c r="G195"/>
  <c r="H195"/>
  <c r="E196"/>
  <c r="I196" s="1"/>
  <c r="K196" s="1"/>
  <c r="F196"/>
  <c r="J196" s="1"/>
  <c r="L196" s="1"/>
  <c r="F197"/>
  <c r="J197" s="1"/>
  <c r="L197" s="1"/>
  <c r="I197"/>
  <c r="K197" s="1"/>
  <c r="F198"/>
  <c r="J198" s="1"/>
  <c r="L198" s="1"/>
  <c r="I198"/>
  <c r="K198" s="1"/>
  <c r="I199"/>
  <c r="K199" s="1"/>
  <c r="J199"/>
  <c r="L199" s="1"/>
  <c r="I200"/>
  <c r="J200"/>
  <c r="L200" s="1"/>
  <c r="I201"/>
  <c r="K201" s="1"/>
  <c r="J201"/>
  <c r="L201" s="1"/>
  <c r="I202"/>
  <c r="K202" s="1"/>
  <c r="J202"/>
  <c r="L202" s="1"/>
  <c r="I203"/>
  <c r="K203" s="1"/>
  <c r="J203"/>
  <c r="L203" s="1"/>
  <c r="I204"/>
  <c r="K204" s="1"/>
  <c r="J204"/>
  <c r="L204" s="1"/>
  <c r="E205"/>
  <c r="F205"/>
  <c r="G205"/>
  <c r="H205"/>
  <c r="F206"/>
  <c r="J206" s="1"/>
  <c r="L206" s="1"/>
  <c r="I206"/>
  <c r="K206" s="1"/>
  <c r="H207"/>
  <c r="L207" s="1"/>
  <c r="I207"/>
  <c r="K207" s="1"/>
  <c r="J207"/>
  <c r="J209" s="1"/>
  <c r="I208"/>
  <c r="J208"/>
  <c r="L208" s="1"/>
  <c r="E209"/>
  <c r="F209"/>
  <c r="G209"/>
  <c r="H209"/>
  <c r="E210"/>
  <c r="I210" s="1"/>
  <c r="F210"/>
  <c r="J210" s="1"/>
  <c r="I211"/>
  <c r="K211" s="1"/>
  <c r="J211"/>
  <c r="L211" s="1"/>
  <c r="I212"/>
  <c r="K212" s="1"/>
  <c r="J212"/>
  <c r="L212" s="1"/>
  <c r="E213"/>
  <c r="F213"/>
  <c r="G213"/>
  <c r="H213"/>
  <c r="I214"/>
  <c r="K214" s="1"/>
  <c r="J214"/>
  <c r="L214" s="1"/>
  <c r="I215"/>
  <c r="K215" s="1"/>
  <c r="J215"/>
  <c r="L215" s="1"/>
  <c r="I216"/>
  <c r="K216" s="1"/>
  <c r="J216"/>
  <c r="J217" s="1"/>
  <c r="E217"/>
  <c r="F217"/>
  <c r="G217"/>
  <c r="H217"/>
  <c r="I218"/>
  <c r="K218" s="1"/>
  <c r="J218"/>
  <c r="L218" s="1"/>
  <c r="E219"/>
  <c r="I219" s="1"/>
  <c r="I221" s="1"/>
  <c r="J219"/>
  <c r="L219" s="1"/>
  <c r="I220"/>
  <c r="K220" s="1"/>
  <c r="J220"/>
  <c r="L220" s="1"/>
  <c r="F221"/>
  <c r="G221"/>
  <c r="H221"/>
  <c r="I222"/>
  <c r="K222" s="1"/>
  <c r="J222"/>
  <c r="L222" s="1"/>
  <c r="I224"/>
  <c r="I225" s="1"/>
  <c r="J224"/>
  <c r="J225" s="1"/>
  <c r="E225"/>
  <c r="F225"/>
  <c r="G225"/>
  <c r="H225"/>
  <c r="I226"/>
  <c r="K226" s="1"/>
  <c r="J226"/>
  <c r="L226" s="1"/>
  <c r="L228" s="1"/>
  <c r="I227"/>
  <c r="J227"/>
  <c r="L227" s="1"/>
  <c r="E228"/>
  <c r="F228"/>
  <c r="G228"/>
  <c r="H228"/>
  <c r="F229"/>
  <c r="J229" s="1"/>
  <c r="L229" s="1"/>
  <c r="I229"/>
  <c r="K229" s="1"/>
  <c r="F230"/>
  <c r="J230" s="1"/>
  <c r="L230" s="1"/>
  <c r="I230"/>
  <c r="K230" s="1"/>
  <c r="E231"/>
  <c r="I231" s="1"/>
  <c r="K231" s="1"/>
  <c r="F231"/>
  <c r="J231" s="1"/>
  <c r="L231" s="1"/>
  <c r="F232"/>
  <c r="J232" s="1"/>
  <c r="L232" s="1"/>
  <c r="I232"/>
  <c r="K232" s="1"/>
  <c r="F233"/>
  <c r="J233" s="1"/>
  <c r="I233"/>
  <c r="K233" s="1"/>
  <c r="K235" s="1"/>
  <c r="I234"/>
  <c r="K234" s="1"/>
  <c r="J234"/>
  <c r="L234" s="1"/>
  <c r="E235"/>
  <c r="G235"/>
  <c r="H235"/>
  <c r="F236"/>
  <c r="J236" s="1"/>
  <c r="I236"/>
  <c r="K236" s="1"/>
  <c r="I237"/>
  <c r="J237"/>
  <c r="L237" s="1"/>
  <c r="E238"/>
  <c r="G238"/>
  <c r="H238"/>
  <c r="I239"/>
  <c r="J239"/>
  <c r="L239" s="1"/>
  <c r="F241"/>
  <c r="J241" s="1"/>
  <c r="L241" s="1"/>
  <c r="I241"/>
  <c r="K241" s="1"/>
  <c r="E242"/>
  <c r="I242" s="1"/>
  <c r="K242" s="1"/>
  <c r="J242"/>
  <c r="L242" s="1"/>
  <c r="I243"/>
  <c r="K243" s="1"/>
  <c r="J243"/>
  <c r="L243" s="1"/>
  <c r="E244"/>
  <c r="I244" s="1"/>
  <c r="K244" s="1"/>
  <c r="J244"/>
  <c r="L244" s="1"/>
  <c r="I245"/>
  <c r="K245" s="1"/>
  <c r="J245"/>
  <c r="L245" s="1"/>
  <c r="I246"/>
  <c r="K246" s="1"/>
  <c r="J246"/>
  <c r="L246" s="1"/>
  <c r="I247"/>
  <c r="K247" s="1"/>
  <c r="J247"/>
  <c r="L247" s="1"/>
  <c r="G248"/>
  <c r="H248"/>
  <c r="I249"/>
  <c r="K249" s="1"/>
  <c r="J249"/>
  <c r="L249" s="1"/>
  <c r="E250"/>
  <c r="I250" s="1"/>
  <c r="J250"/>
  <c r="L250" s="1"/>
  <c r="E251"/>
  <c r="I251" s="1"/>
  <c r="K251" s="1"/>
  <c r="J251"/>
  <c r="L251" s="1"/>
  <c r="I252"/>
  <c r="K252" s="1"/>
  <c r="J252"/>
  <c r="L252" s="1"/>
  <c r="F253"/>
  <c r="G253"/>
  <c r="H253"/>
  <c r="E254"/>
  <c r="I254" s="1"/>
  <c r="K254" s="1"/>
  <c r="F254"/>
  <c r="J254" s="1"/>
  <c r="I255"/>
  <c r="K255" s="1"/>
  <c r="J255"/>
  <c r="L255" s="1"/>
  <c r="G256"/>
  <c r="H256"/>
  <c r="I257"/>
  <c r="K257" s="1"/>
  <c r="J257"/>
  <c r="I258"/>
  <c r="K258" s="1"/>
  <c r="J258"/>
  <c r="L258" s="1"/>
  <c r="I259"/>
  <c r="K259" s="1"/>
  <c r="J259"/>
  <c r="L259" s="1"/>
  <c r="E260"/>
  <c r="F260"/>
  <c r="G260"/>
  <c r="H260"/>
  <c r="I261"/>
  <c r="K261" s="1"/>
  <c r="J261"/>
  <c r="L261" s="1"/>
  <c r="E263"/>
  <c r="I263" s="1"/>
  <c r="J263"/>
  <c r="L263" s="1"/>
  <c r="H264"/>
  <c r="H265" s="1"/>
  <c r="I264"/>
  <c r="K264" s="1"/>
  <c r="J264"/>
  <c r="F265"/>
  <c r="G265"/>
  <c r="E266"/>
  <c r="I266" s="1"/>
  <c r="K266" s="1"/>
  <c r="F266"/>
  <c r="J266" s="1"/>
  <c r="L266" s="1"/>
  <c r="H267"/>
  <c r="H269" s="1"/>
  <c r="H271" s="1"/>
  <c r="I267"/>
  <c r="J267"/>
  <c r="E268"/>
  <c r="I268" s="1"/>
  <c r="K268" s="1"/>
  <c r="J268"/>
  <c r="L268" s="1"/>
  <c r="F269"/>
  <c r="G269"/>
  <c r="G271" s="1"/>
  <c r="I270"/>
  <c r="K270" s="1"/>
  <c r="J270"/>
  <c r="L270" s="1"/>
  <c r="F271"/>
  <c r="I272"/>
  <c r="K272" s="1"/>
  <c r="K286" s="1"/>
  <c r="J272"/>
  <c r="L272" s="1"/>
  <c r="L286" s="1"/>
  <c r="I287"/>
  <c r="K287" s="1"/>
  <c r="J287"/>
  <c r="E288"/>
  <c r="F288"/>
  <c r="G288"/>
  <c r="H288"/>
  <c r="I289"/>
  <c r="I290" s="1"/>
  <c r="J289"/>
  <c r="J290" s="1"/>
  <c r="E290"/>
  <c r="F290"/>
  <c r="G290"/>
  <c r="H290"/>
  <c r="I291"/>
  <c r="K291" s="1"/>
  <c r="J291"/>
  <c r="L291" s="1"/>
  <c r="E292"/>
  <c r="I292" s="1"/>
  <c r="K292" s="1"/>
  <c r="J292"/>
  <c r="L292" s="1"/>
  <c r="E293"/>
  <c r="I293" s="1"/>
  <c r="K293" s="1"/>
  <c r="J293"/>
  <c r="L293" s="1"/>
  <c r="E294"/>
  <c r="I294" s="1"/>
  <c r="K294" s="1"/>
  <c r="J294"/>
  <c r="L294" s="1"/>
  <c r="E295"/>
  <c r="I295" s="1"/>
  <c r="K295" s="1"/>
  <c r="J295"/>
  <c r="L295" s="1"/>
  <c r="E296"/>
  <c r="I296" s="1"/>
  <c r="K296" s="1"/>
  <c r="J296"/>
  <c r="L296" s="1"/>
  <c r="E297"/>
  <c r="I297" s="1"/>
  <c r="K297" s="1"/>
  <c r="H297"/>
  <c r="H308" s="1"/>
  <c r="J297"/>
  <c r="E298"/>
  <c r="I298" s="1"/>
  <c r="K298" s="1"/>
  <c r="J298"/>
  <c r="L298" s="1"/>
  <c r="E299"/>
  <c r="I299" s="1"/>
  <c r="K299" s="1"/>
  <c r="J299"/>
  <c r="L299" s="1"/>
  <c r="E300"/>
  <c r="I300" s="1"/>
  <c r="K300" s="1"/>
  <c r="J300"/>
  <c r="L300" s="1"/>
  <c r="E301"/>
  <c r="I301" s="1"/>
  <c r="K301" s="1"/>
  <c r="J301"/>
  <c r="L301" s="1"/>
  <c r="E302"/>
  <c r="I302" s="1"/>
  <c r="K302" s="1"/>
  <c r="J302"/>
  <c r="L302" s="1"/>
  <c r="I303"/>
  <c r="K303" s="1"/>
  <c r="J303"/>
  <c r="L303" s="1"/>
  <c r="I304"/>
  <c r="K304" s="1"/>
  <c r="J304"/>
  <c r="L304" s="1"/>
  <c r="I305"/>
  <c r="K305" s="1"/>
  <c r="J305"/>
  <c r="L305" s="1"/>
  <c r="I306"/>
  <c r="K306" s="1"/>
  <c r="J306"/>
  <c r="L306" s="1"/>
  <c r="I307"/>
  <c r="K307" s="1"/>
  <c r="J307"/>
  <c r="F308"/>
  <c r="G308"/>
  <c r="I309"/>
  <c r="K309" s="1"/>
  <c r="J309"/>
  <c r="L309" s="1"/>
  <c r="E269" l="1"/>
  <c r="I122"/>
  <c r="K98"/>
  <c r="L85"/>
  <c r="I286"/>
  <c r="J168"/>
  <c r="F156"/>
  <c r="K82"/>
  <c r="F79"/>
  <c r="K16"/>
  <c r="F13"/>
  <c r="J286"/>
  <c r="I191"/>
  <c r="L98"/>
  <c r="L93"/>
  <c r="J39"/>
  <c r="L37"/>
  <c r="I269"/>
  <c r="J256"/>
  <c r="I253"/>
  <c r="I235"/>
  <c r="H223"/>
  <c r="I209"/>
  <c r="J195"/>
  <c r="F187"/>
  <c r="I184"/>
  <c r="L177"/>
  <c r="L179" s="1"/>
  <c r="I160"/>
  <c r="I125"/>
  <c r="I93"/>
  <c r="I82"/>
  <c r="I68"/>
  <c r="F49"/>
  <c r="J33"/>
  <c r="J13"/>
  <c r="J10"/>
  <c r="E240"/>
  <c r="I179"/>
  <c r="I107"/>
  <c r="J62"/>
  <c r="I56"/>
  <c r="I265"/>
  <c r="J260"/>
  <c r="L248"/>
  <c r="L156"/>
  <c r="I288"/>
  <c r="I260"/>
  <c r="E253"/>
  <c r="I238"/>
  <c r="I228"/>
  <c r="G223"/>
  <c r="I217"/>
  <c r="J184"/>
  <c r="I168"/>
  <c r="J142"/>
  <c r="K142"/>
  <c r="J122"/>
  <c r="L113"/>
  <c r="I104"/>
  <c r="I101"/>
  <c r="L71"/>
  <c r="J59"/>
  <c r="I46"/>
  <c r="I49" s="1"/>
  <c r="I39"/>
  <c r="J29"/>
  <c r="K13"/>
  <c r="K10"/>
  <c r="K7"/>
  <c r="J213"/>
  <c r="L210"/>
  <c r="L213" s="1"/>
  <c r="K308"/>
  <c r="L205"/>
  <c r="K195"/>
  <c r="K191"/>
  <c r="L174"/>
  <c r="L164"/>
  <c r="L142"/>
  <c r="K125"/>
  <c r="L122"/>
  <c r="L117"/>
  <c r="L107"/>
  <c r="K93"/>
  <c r="L59"/>
  <c r="K52"/>
  <c r="K36"/>
  <c r="L24"/>
  <c r="L26" s="1"/>
  <c r="L7"/>
  <c r="L236"/>
  <c r="L238" s="1"/>
  <c r="J238"/>
  <c r="J240" s="1"/>
  <c r="K260"/>
  <c r="L221"/>
  <c r="L209"/>
  <c r="L195"/>
  <c r="L160"/>
  <c r="L146"/>
  <c r="L125"/>
  <c r="K117"/>
  <c r="K110"/>
  <c r="K104"/>
  <c r="K85"/>
  <c r="L75"/>
  <c r="K65"/>
  <c r="K33"/>
  <c r="K24"/>
  <c r="K26" s="1"/>
  <c r="K184"/>
  <c r="K288"/>
  <c r="K256"/>
  <c r="L253"/>
  <c r="K248"/>
  <c r="K217"/>
  <c r="L191"/>
  <c r="K174"/>
  <c r="K79"/>
  <c r="K39"/>
  <c r="J308"/>
  <c r="J288"/>
  <c r="F238"/>
  <c r="H240"/>
  <c r="J228"/>
  <c r="I213"/>
  <c r="G185"/>
  <c r="J164"/>
  <c r="I156"/>
  <c r="J104"/>
  <c r="J79"/>
  <c r="J49"/>
  <c r="L264"/>
  <c r="L265" s="1"/>
  <c r="L254"/>
  <c r="L256" s="1"/>
  <c r="L224"/>
  <c r="L225" s="1"/>
  <c r="L216"/>
  <c r="L217" s="1"/>
  <c r="L186"/>
  <c r="L187" s="1"/>
  <c r="L99"/>
  <c r="L101" s="1"/>
  <c r="K67"/>
  <c r="K68" s="1"/>
  <c r="K53"/>
  <c r="K56" s="1"/>
  <c r="K41"/>
  <c r="K43" s="1"/>
  <c r="F256"/>
  <c r="I240"/>
  <c r="H185"/>
  <c r="I146"/>
  <c r="G135"/>
  <c r="J56"/>
  <c r="I24"/>
  <c r="I26" s="1"/>
  <c r="L307"/>
  <c r="L297"/>
  <c r="L289"/>
  <c r="L290" s="1"/>
  <c r="K267"/>
  <c r="K269" s="1"/>
  <c r="K271" s="1"/>
  <c r="K263"/>
  <c r="K265" s="1"/>
  <c r="K239"/>
  <c r="K237"/>
  <c r="K238" s="1"/>
  <c r="K227"/>
  <c r="K228" s="1"/>
  <c r="K219"/>
  <c r="K221" s="1"/>
  <c r="K177"/>
  <c r="K179" s="1"/>
  <c r="K167"/>
  <c r="K168" s="1"/>
  <c r="K163"/>
  <c r="K164" s="1"/>
  <c r="K138"/>
  <c r="K139" s="1"/>
  <c r="K100"/>
  <c r="K101" s="1"/>
  <c r="L67"/>
  <c r="L68" s="1"/>
  <c r="L53"/>
  <c r="L56" s="1"/>
  <c r="L11"/>
  <c r="L13" s="1"/>
  <c r="G262"/>
  <c r="J235"/>
  <c r="I205"/>
  <c r="J191"/>
  <c r="J146"/>
  <c r="J139"/>
  <c r="J134"/>
  <c r="J85"/>
  <c r="I75"/>
  <c r="E65"/>
  <c r="I65"/>
  <c r="L287"/>
  <c r="L288" s="1"/>
  <c r="L267"/>
  <c r="L269" s="1"/>
  <c r="L271" s="1"/>
  <c r="L257"/>
  <c r="L260" s="1"/>
  <c r="L233"/>
  <c r="L235" s="1"/>
  <c r="L183"/>
  <c r="L184" s="1"/>
  <c r="L138"/>
  <c r="L139" s="1"/>
  <c r="L132"/>
  <c r="L134" s="1"/>
  <c r="L102"/>
  <c r="L104" s="1"/>
  <c r="K72"/>
  <c r="K75" s="1"/>
  <c r="K58"/>
  <c r="K59" s="1"/>
  <c r="E271"/>
  <c r="E265"/>
  <c r="J265"/>
  <c r="J221"/>
  <c r="J205"/>
  <c r="J223" s="1"/>
  <c r="I195"/>
  <c r="I142"/>
  <c r="I134"/>
  <c r="H135"/>
  <c r="J125"/>
  <c r="I79"/>
  <c r="J71"/>
  <c r="F65"/>
  <c r="J43"/>
  <c r="E33"/>
  <c r="K250"/>
  <c r="K253" s="1"/>
  <c r="K224"/>
  <c r="K225" s="1"/>
  <c r="K210"/>
  <c r="K213" s="1"/>
  <c r="K208"/>
  <c r="K209" s="1"/>
  <c r="K200"/>
  <c r="K205" s="1"/>
  <c r="K186"/>
  <c r="K187" s="1"/>
  <c r="K159"/>
  <c r="K160" s="1"/>
  <c r="K147"/>
  <c r="K156" s="1"/>
  <c r="K143"/>
  <c r="K146" s="1"/>
  <c r="K133"/>
  <c r="K134" s="1"/>
  <c r="K121"/>
  <c r="K122" s="1"/>
  <c r="K105"/>
  <c r="K107" s="1"/>
  <c r="L80"/>
  <c r="L82" s="1"/>
  <c r="L76"/>
  <c r="L79" s="1"/>
  <c r="L60"/>
  <c r="L62" s="1"/>
  <c r="L46"/>
  <c r="L49" s="1"/>
  <c r="L40"/>
  <c r="L43" s="1"/>
  <c r="L38"/>
  <c r="L39" s="1"/>
  <c r="L30"/>
  <c r="L33" s="1"/>
  <c r="L8"/>
  <c r="L10" s="1"/>
  <c r="I33"/>
  <c r="G89"/>
  <c r="I112"/>
  <c r="J65"/>
  <c r="J269"/>
  <c r="F235"/>
  <c r="F240" s="1"/>
  <c r="E221"/>
  <c r="E223" s="1"/>
  <c r="F223"/>
  <c r="F104"/>
  <c r="F82"/>
  <c r="E43"/>
  <c r="F33"/>
  <c r="F16"/>
  <c r="E308"/>
  <c r="H262"/>
  <c r="F248"/>
  <c r="F262" s="1"/>
  <c r="G240"/>
  <c r="F101"/>
  <c r="F75"/>
  <c r="H89"/>
  <c r="I29"/>
  <c r="J248"/>
  <c r="J160"/>
  <c r="I110"/>
  <c r="I85"/>
  <c r="I71"/>
  <c r="I62"/>
  <c r="I13"/>
  <c r="I10"/>
  <c r="I7"/>
  <c r="J179"/>
  <c r="I36"/>
  <c r="J7"/>
  <c r="I308"/>
  <c r="I271"/>
  <c r="J156"/>
  <c r="J117"/>
  <c r="J98"/>
  <c r="J36"/>
  <c r="I256"/>
  <c r="J107"/>
  <c r="J75"/>
  <c r="J24"/>
  <c r="J26" s="1"/>
  <c r="I117"/>
  <c r="I98"/>
  <c r="I16"/>
  <c r="E256"/>
  <c r="I248"/>
  <c r="E248"/>
  <c r="F160"/>
  <c r="F185" s="1"/>
  <c r="F117"/>
  <c r="E110"/>
  <c r="J108"/>
  <c r="L108" s="1"/>
  <c r="L110" s="1"/>
  <c r="E85"/>
  <c r="E62"/>
  <c r="I52"/>
  <c r="E52"/>
  <c r="J50"/>
  <c r="L50" s="1"/>
  <c r="L52" s="1"/>
  <c r="E36"/>
  <c r="J16"/>
  <c r="F36"/>
  <c r="F24"/>
  <c r="F26" s="1"/>
  <c r="E13"/>
  <c r="J271"/>
  <c r="J253"/>
  <c r="E185"/>
  <c r="E117"/>
  <c r="E98"/>
  <c r="E71"/>
  <c r="E16"/>
  <c r="F135" l="1"/>
  <c r="L262"/>
  <c r="I223"/>
  <c r="I185"/>
  <c r="L89"/>
  <c r="J262"/>
  <c r="K46"/>
  <c r="K49" s="1"/>
  <c r="K262"/>
  <c r="L185"/>
  <c r="L240"/>
  <c r="K89"/>
  <c r="L223"/>
  <c r="K223"/>
  <c r="K185"/>
  <c r="I113"/>
  <c r="I135" s="1"/>
  <c r="K112"/>
  <c r="K113" s="1"/>
  <c r="K135" s="1"/>
  <c r="E135"/>
  <c r="H310"/>
  <c r="L308"/>
  <c r="K240"/>
  <c r="F89"/>
  <c r="F310" s="1"/>
  <c r="G310"/>
  <c r="L135"/>
  <c r="J110"/>
  <c r="J135" s="1"/>
  <c r="E262"/>
  <c r="I262"/>
  <c r="J185"/>
  <c r="I89"/>
  <c r="E89"/>
  <c r="J52"/>
  <c r="J89" s="1"/>
  <c r="K310" l="1"/>
  <c r="I310"/>
  <c r="L310"/>
  <c r="J310"/>
  <c r="E310"/>
  <c r="N300" l="1"/>
  <c r="M145"/>
  <c r="N198" l="1"/>
  <c r="M290" l="1"/>
  <c r="N290"/>
  <c r="N269"/>
  <c r="M225"/>
  <c r="N225"/>
  <c r="M221"/>
  <c r="M205"/>
  <c r="N205"/>
  <c r="M195"/>
  <c r="N195"/>
  <c r="M179"/>
  <c r="N179"/>
  <c r="N164"/>
  <c r="M146"/>
  <c r="N146"/>
  <c r="M142"/>
  <c r="N142"/>
  <c r="M134"/>
  <c r="N134"/>
  <c r="M125"/>
  <c r="N125"/>
  <c r="M117"/>
  <c r="N117"/>
  <c r="M113"/>
  <c r="N113"/>
  <c r="N110"/>
  <c r="M93"/>
  <c r="N93"/>
  <c r="M82"/>
  <c r="N82"/>
  <c r="M79"/>
  <c r="N79"/>
  <c r="M75"/>
  <c r="N75"/>
  <c r="N62"/>
  <c r="N59"/>
  <c r="M52"/>
  <c r="N52"/>
  <c r="N49"/>
  <c r="M43"/>
  <c r="N43"/>
  <c r="M39"/>
  <c r="N39"/>
  <c r="N36"/>
  <c r="M33"/>
  <c r="N33"/>
  <c r="M29"/>
  <c r="N29"/>
  <c r="M24"/>
  <c r="N24"/>
  <c r="M16"/>
  <c r="N16"/>
  <c r="M13"/>
  <c r="N13"/>
  <c r="M7"/>
  <c r="N7"/>
  <c r="N26" l="1"/>
  <c r="M26"/>
  <c r="N207" l="1"/>
  <c r="M10" l="1"/>
  <c r="N10"/>
  <c r="N264"/>
  <c r="N272"/>
  <c r="N286" s="1"/>
  <c r="N296"/>
  <c r="N298"/>
  <c r="N158" l="1"/>
  <c r="M138"/>
  <c r="M250"/>
  <c r="M297"/>
  <c r="N294"/>
  <c r="M291"/>
  <c r="M258"/>
  <c r="M255"/>
  <c r="N250"/>
  <c r="M247"/>
  <c r="M245"/>
  <c r="N242"/>
  <c r="M237"/>
  <c r="N227"/>
  <c r="N220"/>
  <c r="M212"/>
  <c r="M208"/>
  <c r="M190"/>
  <c r="M182"/>
  <c r="N176"/>
  <c r="N173"/>
  <c r="M158"/>
  <c r="M155"/>
  <c r="M153"/>
  <c r="M151"/>
  <c r="M149"/>
  <c r="M298"/>
  <c r="M295"/>
  <c r="N295"/>
  <c r="N291"/>
  <c r="N258"/>
  <c r="N255"/>
  <c r="N251"/>
  <c r="N247"/>
  <c r="N245"/>
  <c r="M243"/>
  <c r="N237"/>
  <c r="M234"/>
  <c r="N212"/>
  <c r="N190"/>
  <c r="M188"/>
  <c r="N182"/>
  <c r="N180"/>
  <c r="M172"/>
  <c r="M167"/>
  <c r="M165"/>
  <c r="N155"/>
  <c r="N153"/>
  <c r="N151"/>
  <c r="N149"/>
  <c r="M147"/>
  <c r="M180"/>
  <c r="N297"/>
  <c r="N292"/>
  <c r="M259"/>
  <c r="M252"/>
  <c r="M246"/>
  <c r="N243"/>
  <c r="N234"/>
  <c r="N219"/>
  <c r="M216"/>
  <c r="M214"/>
  <c r="M211"/>
  <c r="M206"/>
  <c r="M192"/>
  <c r="M189"/>
  <c r="M183"/>
  <c r="N172"/>
  <c r="N167"/>
  <c r="N165"/>
  <c r="M154"/>
  <c r="M152"/>
  <c r="M150"/>
  <c r="M148"/>
  <c r="M264"/>
  <c r="N259"/>
  <c r="N252"/>
  <c r="N246"/>
  <c r="M227"/>
  <c r="N216"/>
  <c r="N214"/>
  <c r="N211"/>
  <c r="N192"/>
  <c r="N189"/>
  <c r="N183"/>
  <c r="M176"/>
  <c r="M173"/>
  <c r="M163"/>
  <c r="N154"/>
  <c r="N152"/>
  <c r="N150"/>
  <c r="N148"/>
  <c r="M84"/>
  <c r="N118"/>
  <c r="N121"/>
  <c r="N86"/>
  <c r="M126"/>
  <c r="M128"/>
  <c r="M86"/>
  <c r="N95"/>
  <c r="N171"/>
  <c r="M267"/>
  <c r="N249"/>
  <c r="M207"/>
  <c r="M186"/>
  <c r="M162"/>
  <c r="M137"/>
  <c r="N120"/>
  <c r="M58"/>
  <c r="M261"/>
  <c r="N137"/>
  <c r="M108"/>
  <c r="M105"/>
  <c r="M102"/>
  <c r="M99"/>
  <c r="M96"/>
  <c r="N69"/>
  <c r="N261"/>
  <c r="N53"/>
  <c r="N67"/>
  <c r="N64"/>
  <c r="M272"/>
  <c r="M286" s="1"/>
  <c r="N208"/>
  <c r="M159"/>
  <c r="N218"/>
  <c r="N215"/>
  <c r="M63"/>
  <c r="M48"/>
  <c r="N263"/>
  <c r="M257"/>
  <c r="M249"/>
  <c r="M236"/>
  <c r="M233"/>
  <c r="M215"/>
  <c r="M171"/>
  <c r="N159"/>
  <c r="M120"/>
  <c r="N83"/>
  <c r="M57"/>
  <c r="N231" l="1"/>
  <c r="N168"/>
  <c r="N228"/>
  <c r="N308"/>
  <c r="M69"/>
  <c r="N217"/>
  <c r="N209"/>
  <c r="N174"/>
  <c r="N265"/>
  <c r="N160"/>
  <c r="N221"/>
  <c r="N68"/>
  <c r="N122"/>
  <c r="N288"/>
  <c r="N253"/>
  <c r="M59"/>
  <c r="M217"/>
  <c r="M238"/>
  <c r="M209"/>
  <c r="M168"/>
  <c r="M235"/>
  <c r="M260"/>
  <c r="M160"/>
  <c r="M98"/>
  <c r="M187"/>
  <c r="M174"/>
  <c r="M164"/>
  <c r="M156"/>
  <c r="M191"/>
  <c r="M242"/>
  <c r="M292"/>
  <c r="N206"/>
  <c r="M268"/>
  <c r="M104"/>
  <c r="N213"/>
  <c r="N184"/>
  <c r="M251"/>
  <c r="M299"/>
  <c r="M184"/>
  <c r="N248"/>
  <c r="M296"/>
  <c r="M231"/>
  <c r="M228"/>
  <c r="M213"/>
  <c r="N147"/>
  <c r="M294"/>
  <c r="N257"/>
  <c r="N254"/>
  <c r="N55"/>
  <c r="M34"/>
  <c r="M95"/>
  <c r="N126"/>
  <c r="M139"/>
  <c r="N94"/>
  <c r="N106"/>
  <c r="M129"/>
  <c r="M118"/>
  <c r="N99"/>
  <c r="N84"/>
  <c r="M100"/>
  <c r="N129"/>
  <c r="N70"/>
  <c r="N100"/>
  <c r="M121"/>
  <c r="N138"/>
  <c r="M94"/>
  <c r="M106"/>
  <c r="N128"/>
  <c r="M263"/>
  <c r="N102"/>
  <c r="N186"/>
  <c r="M64"/>
  <c r="M65" s="1"/>
  <c r="M54"/>
  <c r="M47"/>
  <c r="N96"/>
  <c r="N188"/>
  <c r="M45"/>
  <c r="N54"/>
  <c r="M83"/>
  <c r="M254"/>
  <c r="N236"/>
  <c r="M55"/>
  <c r="M53"/>
  <c r="N63"/>
  <c r="M46"/>
  <c r="M60"/>
  <c r="N266"/>
  <c r="N105"/>
  <c r="N233"/>
  <c r="M67"/>
  <c r="N65" l="1"/>
  <c r="N238"/>
  <c r="N191"/>
  <c r="N139"/>
  <c r="N101"/>
  <c r="N156"/>
  <c r="N185" s="1"/>
  <c r="N235"/>
  <c r="N240" s="1"/>
  <c r="N271"/>
  <c r="N56"/>
  <c r="N98"/>
  <c r="N104"/>
  <c r="N71"/>
  <c r="N85"/>
  <c r="N260"/>
  <c r="N107"/>
  <c r="N187"/>
  <c r="N256"/>
  <c r="M269"/>
  <c r="M256"/>
  <c r="M49"/>
  <c r="M248"/>
  <c r="M68"/>
  <c r="M101"/>
  <c r="M240"/>
  <c r="M56"/>
  <c r="M85"/>
  <c r="M107"/>
  <c r="M288"/>
  <c r="M122"/>
  <c r="M36"/>
  <c r="M265"/>
  <c r="M185"/>
  <c r="M308"/>
  <c r="M310" s="1"/>
  <c r="M253"/>
  <c r="M223"/>
  <c r="M109"/>
  <c r="M70"/>
  <c r="M71" s="1"/>
  <c r="N223" l="1"/>
  <c r="N89"/>
  <c r="N135"/>
  <c r="N262"/>
  <c r="M262"/>
  <c r="M271"/>
  <c r="M110"/>
  <c r="N310" l="1"/>
  <c r="M135"/>
  <c r="M61"/>
  <c r="M62" l="1"/>
  <c r="M89" l="1"/>
  <c r="A253" l="1"/>
</calcChain>
</file>

<file path=xl/comments1.xml><?xml version="1.0" encoding="utf-8"?>
<comments xmlns="http://schemas.openxmlformats.org/spreadsheetml/2006/main">
  <authors>
    <author>Author</author>
  </authors>
  <commentList>
    <comment ref="N10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 lakh in july
</t>
        </r>
      </text>
    </comment>
    <comment ref="N15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25.00 lskh july
</t>
        </r>
      </text>
    </comment>
  </commentList>
</comments>
</file>

<file path=xl/sharedStrings.xml><?xml version="1.0" encoding="utf-8"?>
<sst xmlns="http://schemas.openxmlformats.org/spreadsheetml/2006/main" count="563" uniqueCount="408">
  <si>
    <t>Pension</t>
  </si>
  <si>
    <t xml:space="preserve"> </t>
  </si>
  <si>
    <t xml:space="preserve">S.No. </t>
  </si>
  <si>
    <t xml:space="preserve">F.No. </t>
  </si>
  <si>
    <t>State</t>
  </si>
  <si>
    <t>Name of the Unit</t>
  </si>
  <si>
    <t>CICR, Nagpur</t>
  </si>
  <si>
    <t>AICRP on Cotton, CICR, Nagpur</t>
  </si>
  <si>
    <t>6(1)/2018</t>
  </si>
  <si>
    <t>Maharashtra</t>
  </si>
  <si>
    <t>CRIJAF, Barrackpore</t>
  </si>
  <si>
    <t>AINPJAF, CRIJAF, Barrackpore</t>
  </si>
  <si>
    <t>6(2)/2018</t>
  </si>
  <si>
    <t>West Bengal</t>
  </si>
  <si>
    <t>NRRI, Cuttack</t>
  </si>
  <si>
    <t>Incentivizing Research in Agriculture, NRRI, Cuttack</t>
  </si>
  <si>
    <t>6(3)/2018</t>
  </si>
  <si>
    <t>Odhisha</t>
  </si>
  <si>
    <t>CTRI, Rajamundry</t>
  </si>
  <si>
    <t>NETWORK on Tobacco, CTRI, Rajamundry</t>
  </si>
  <si>
    <t>6(4)/2018</t>
  </si>
  <si>
    <t>Andhra Pradesh</t>
  </si>
  <si>
    <t>IARI, New Delhi</t>
  </si>
  <si>
    <t>Pesticide Residues, IARI, New Delhi</t>
  </si>
  <si>
    <t xml:space="preserve">AICRP Nematode, IARI, New Delhi </t>
  </si>
  <si>
    <t>CRP On Hybrid Technology, IARI, New Delhi</t>
  </si>
  <si>
    <t>CRP On Molecular  Breeding,  IARI, New Delhi</t>
  </si>
  <si>
    <t>AICRP on Honey Bee &amp; Pollinators, New Delhi</t>
  </si>
  <si>
    <t>IARI Types Deemed University,  Assam</t>
  </si>
  <si>
    <t xml:space="preserve">IARI </t>
  </si>
  <si>
    <t>IARI Types Deemed University,  Jharkhand</t>
  </si>
  <si>
    <t>6(5)/2018</t>
  </si>
  <si>
    <t>New Delhi</t>
  </si>
  <si>
    <t>IGFRI, Jhansi</t>
  </si>
  <si>
    <t>AICRP on Forage Crops and Utilization, IGFRI, Jhansi</t>
  </si>
  <si>
    <t>6(6)/2018</t>
  </si>
  <si>
    <t>Uttar Pradesh</t>
  </si>
  <si>
    <t>IIPR, Kanpur</t>
  </si>
  <si>
    <t>6(7)/2018</t>
  </si>
  <si>
    <t>IISR, Lucknow</t>
  </si>
  <si>
    <t>AICRP on Sugercane, IISR, Lucknow</t>
  </si>
  <si>
    <t>6(8)/2018</t>
  </si>
  <si>
    <t>NBAIM, Maunath Bhanjan</t>
  </si>
  <si>
    <t>AMAAS, NBAIM, Mau</t>
  </si>
  <si>
    <t>6(9)/2018</t>
  </si>
  <si>
    <t>NBPGR, New Delhi</t>
  </si>
  <si>
    <t>AICRP POTENTIAL CROP, NBPGR, New Delhi</t>
  </si>
  <si>
    <t>CRP-AGRO BIODIVERSITY, NBPGR, New Delhi</t>
  </si>
  <si>
    <t>6(10)/2018</t>
  </si>
  <si>
    <t>6(11)/2018</t>
  </si>
  <si>
    <t>Tamil Nadu</t>
  </si>
  <si>
    <t>SBI, Coimbatore</t>
  </si>
  <si>
    <t>6(12)/2018</t>
  </si>
  <si>
    <t>Uttarkhand</t>
  </si>
  <si>
    <t>VPKAS, Almora</t>
  </si>
  <si>
    <t>NRCIPM, New Delhi</t>
  </si>
  <si>
    <t>6(13)/2018</t>
  </si>
  <si>
    <t>DGR, Junagadh</t>
  </si>
  <si>
    <t>AICRP on Groudnut, DGR, Junagadh</t>
  </si>
  <si>
    <t>6(14)/2018</t>
  </si>
  <si>
    <t>Gujarat</t>
  </si>
  <si>
    <t>NRC Plant Biotechnology, New Delhi</t>
  </si>
  <si>
    <t>6(15)/2018</t>
  </si>
  <si>
    <t>DR &amp; MR, Bharatpur</t>
  </si>
  <si>
    <t>AICRP on R&amp;M, DR &amp; MR, Bharatpur</t>
  </si>
  <si>
    <t>6(16)/2018</t>
  </si>
  <si>
    <t>Rajasthan</t>
  </si>
  <si>
    <t>IIMR, Hyderabad</t>
  </si>
  <si>
    <t>6(17)/2018</t>
  </si>
  <si>
    <t>Telangana</t>
  </si>
  <si>
    <t>DSR, Indore</t>
  </si>
  <si>
    <t xml:space="preserve">AICRP on Soyabean, Indore </t>
  </si>
  <si>
    <t>6(18)/2018</t>
  </si>
  <si>
    <t>Madhya Pradesh</t>
  </si>
  <si>
    <t>NBAIR, Bengaluru</t>
  </si>
  <si>
    <t>AICRP on Biological Control, NBAIR, Benglaluru</t>
  </si>
  <si>
    <t>6(19)/2018</t>
  </si>
  <si>
    <t>Karnataka</t>
  </si>
  <si>
    <t>IIMR, Ludhiana</t>
  </si>
  <si>
    <t>AICRP On Maize, IIMR, Ludhiana</t>
  </si>
  <si>
    <t>6(20)/2018</t>
  </si>
  <si>
    <t>Punjab</t>
  </si>
  <si>
    <t>IIOR, Hyderabad</t>
  </si>
  <si>
    <t>AICRP on Sesame &amp; Niger, IIOR, Hyderabad</t>
  </si>
  <si>
    <t>6(21)/2018</t>
  </si>
  <si>
    <t>IIRR,  Hyderabad</t>
  </si>
  <si>
    <t>AICRP on Rice, IIRR, Hyderabad</t>
  </si>
  <si>
    <t>CRP on  Rice Biofortification, IIRR, Hyderabad</t>
  </si>
  <si>
    <t>6(22)/2018</t>
  </si>
  <si>
    <t>IIWBR,  Karnal</t>
  </si>
  <si>
    <t>AICRP on Wheat &amp; Barley, IIWBR, Karnal</t>
  </si>
  <si>
    <t>6(23)/2018</t>
  </si>
  <si>
    <t>Haryana</t>
  </si>
  <si>
    <t>IISS, Maunath Bhanjan</t>
  </si>
  <si>
    <t>6(24)/2018</t>
  </si>
  <si>
    <t>6(26)/2018</t>
  </si>
  <si>
    <t>Chattisgarh</t>
  </si>
  <si>
    <t>NIBSM, Raipur</t>
  </si>
  <si>
    <t>6(27)/2018</t>
  </si>
  <si>
    <t>Jharkahand</t>
  </si>
  <si>
    <t>IIAB, Ranchi</t>
  </si>
  <si>
    <t>6(70)/2018</t>
  </si>
  <si>
    <t xml:space="preserve">Total Crop Sciences </t>
  </si>
  <si>
    <t>6(28)/2018</t>
  </si>
  <si>
    <t>Andhamand  &amp; Nicobar Islands</t>
  </si>
  <si>
    <t>CIARI, Port Blair</t>
  </si>
  <si>
    <t>CIAH, Bikaner</t>
  </si>
  <si>
    <t>AICRP on AZF, CIAH, Bikaner</t>
  </si>
  <si>
    <t>6(29)/2018</t>
  </si>
  <si>
    <t>6(30)/2018</t>
  </si>
  <si>
    <t>CISH, Lucknow</t>
  </si>
  <si>
    <t>6(31)/2018</t>
  </si>
  <si>
    <t>Jammu &amp; Kashmir</t>
  </si>
  <si>
    <t>CITH, Srinagar</t>
  </si>
  <si>
    <t>CPCRI, Kasaragod</t>
  </si>
  <si>
    <t>AICRP on Palms, CPCRI, Kasaragod</t>
  </si>
  <si>
    <t>6(32)/2018</t>
  </si>
  <si>
    <t>Kerala</t>
  </si>
  <si>
    <t>CPRI, Shimla</t>
  </si>
  <si>
    <t>AICRP on Potato, CPRI, Shimla</t>
  </si>
  <si>
    <t>6(33)/2018</t>
  </si>
  <si>
    <t>Himachal Pradesh</t>
  </si>
  <si>
    <t>CTCRI, Thiruvanthapuram</t>
  </si>
  <si>
    <t>AICRP on Tuber Crops, CTCRI, Thiruvanthapuram</t>
  </si>
  <si>
    <t>6(34)/2018</t>
  </si>
  <si>
    <t>IIHR, Bangalore</t>
  </si>
  <si>
    <t>AICRP on Fruit, IIHR, Bangalore</t>
  </si>
  <si>
    <t>6(35)/2018</t>
  </si>
  <si>
    <t>IISR, Calicut</t>
  </si>
  <si>
    <t>AICRP on Spices, IISR, Calicut</t>
  </si>
  <si>
    <t>6(36)/2018</t>
  </si>
  <si>
    <t>IIVR, Varanasi</t>
  </si>
  <si>
    <t>AICRP on Vegetables, IIVR, Varanasi</t>
  </si>
  <si>
    <t>6(37)/2018</t>
  </si>
  <si>
    <t>6(38)/2018</t>
  </si>
  <si>
    <t>NRC for Banana, Tiruchirapalli</t>
  </si>
  <si>
    <t>Dte. for Cashew Research,  Puttur</t>
  </si>
  <si>
    <t>AICRP on Cashew, Dte. For Cashew Research,  Puttur</t>
  </si>
  <si>
    <t>6(39)/2018</t>
  </si>
  <si>
    <t>6(40)/2018</t>
  </si>
  <si>
    <t>CCRI, Nagpur</t>
  </si>
  <si>
    <t>6(41)/2018</t>
  </si>
  <si>
    <t>NRC For Grapes, Pune</t>
  </si>
  <si>
    <t>DMAPR, Anand</t>
  </si>
  <si>
    <t>AICRP on MAP &amp; Betelvine, DMAPR, Anand</t>
  </si>
  <si>
    <t>6(42)/2018</t>
  </si>
  <si>
    <t>Dte. on Mushroom, Solan</t>
  </si>
  <si>
    <t>AICRP on Mushroom, DMR, Solan</t>
  </si>
  <si>
    <t>6(43)/2018</t>
  </si>
  <si>
    <t>6(44)/2018</t>
  </si>
  <si>
    <t>IIOPR, Pedavegi</t>
  </si>
  <si>
    <t>6(45)/2018</t>
  </si>
  <si>
    <t>Dte. on Onion &amp; Garlic, Pune</t>
  </si>
  <si>
    <t>6(46)/2018</t>
  </si>
  <si>
    <t>Sikkim</t>
  </si>
  <si>
    <t>NRC on Orchids, Sikkim</t>
  </si>
  <si>
    <t>6(47)/2018</t>
  </si>
  <si>
    <t>NRC Seed Spices, Ajmer</t>
  </si>
  <si>
    <t>6(48)/2018</t>
  </si>
  <si>
    <t>Bihar</t>
  </si>
  <si>
    <t>NRC For Litchi, Muzaffarpur</t>
  </si>
  <si>
    <t>6(49)/2018</t>
  </si>
  <si>
    <t>NRC for Pomegranate, Solapur</t>
  </si>
  <si>
    <t>Dte. of Floriculture, Pune</t>
  </si>
  <si>
    <t>AICRP on Floriculture, Dte. of Floriculture, Pune</t>
  </si>
  <si>
    <t>6(50)/2018</t>
  </si>
  <si>
    <t xml:space="preserve">Total HORTICULTURAL SCIENCES </t>
  </si>
  <si>
    <t>6(51)/2018</t>
  </si>
  <si>
    <t>CARI, Izatnagar</t>
  </si>
  <si>
    <t>CIRB, Hissar</t>
  </si>
  <si>
    <t>Network Project on Baffaloes, CIRB, Hissar</t>
  </si>
  <si>
    <t>6(52)/2018</t>
  </si>
  <si>
    <t>CIRG, Makhdoom</t>
  </si>
  <si>
    <t>AICRP on Goats, CIRG, Makhdoom</t>
  </si>
  <si>
    <t>6(53)/2018</t>
  </si>
  <si>
    <t>CSWRI, Avikanagar</t>
  </si>
  <si>
    <t>AICRP on Mega Sheep Seed Project, CSWRI, Avikanagar</t>
  </si>
  <si>
    <t>Network on Sheep Improvement, CSWRI, Avikanagar</t>
  </si>
  <si>
    <t>6(54)/2018</t>
  </si>
  <si>
    <t>IVRI, Izatnagar</t>
  </si>
  <si>
    <t>Outreach Prog. On Env. Pollutant, IVRI, Izatnagar</t>
  </si>
  <si>
    <t>Outreach Prog. On Zoonotic Diseases, IVRI, Izatnagar</t>
  </si>
  <si>
    <t>Outreach Prog, on Ethno vety. Medicine, IVRI, Izatnagar</t>
  </si>
  <si>
    <t>Network on GIP,IVRI, Izatnagar</t>
  </si>
  <si>
    <t>Network on BTD, IVRI, Izatnagar</t>
  </si>
  <si>
    <t>Network on Neonatal Mortality, IVRI, Izatnagar</t>
  </si>
  <si>
    <t>Network on Diag. Imaging Tech., IVRI, Izatnagar</t>
  </si>
  <si>
    <t>CRP on  V&amp;D, IVRI, Izatnagar</t>
  </si>
  <si>
    <t>6(55)/2018</t>
  </si>
  <si>
    <t>6(56)/2018</t>
  </si>
  <si>
    <t>NIHSAD, Bhopal</t>
  </si>
  <si>
    <t>NBAGR, Karnal</t>
  </si>
  <si>
    <t>Network Project on Animal Genetic Resources, NBAGR, Karnal</t>
  </si>
  <si>
    <t>6(57)/2018</t>
  </si>
  <si>
    <t>6(58)/2018</t>
  </si>
  <si>
    <t>NDRI, Karnal</t>
  </si>
  <si>
    <t>NIANP, Bangalore</t>
  </si>
  <si>
    <t>AICRP ON NPAERP + OP on Methan Emission, NIANP, Bangalore</t>
  </si>
  <si>
    <t>6(59)/2018</t>
  </si>
  <si>
    <t>6(60)/2018</t>
  </si>
  <si>
    <t>NRC on Camel, Bikaner</t>
  </si>
  <si>
    <t>NRC on Equines, Hissar</t>
  </si>
  <si>
    <t>National Centre for  Veterinary Type Culture Collection, NRC on Equines, Hissar</t>
  </si>
  <si>
    <t>6(61)/2018</t>
  </si>
  <si>
    <t>6(62)/2018</t>
  </si>
  <si>
    <t>NRC on Meat, Hyderabad</t>
  </si>
  <si>
    <t>6(63)/2018</t>
  </si>
  <si>
    <t>Nagaland</t>
  </si>
  <si>
    <t>NRC on Mithun</t>
  </si>
  <si>
    <t>NRC on Pig, Guwahati</t>
  </si>
  <si>
    <t>AICRP on Pig, NRC on Pig, Guwahati</t>
  </si>
  <si>
    <t>Mega seed on Pig, NRC on Pig, Guwahati</t>
  </si>
  <si>
    <t>6(64)/2018</t>
  </si>
  <si>
    <t>Assam</t>
  </si>
  <si>
    <t>6(65)/2018</t>
  </si>
  <si>
    <t>Arunachal Pradesh</t>
  </si>
  <si>
    <t>NRC on Yak, Dirang</t>
  </si>
  <si>
    <t>6(66)/2018</t>
  </si>
  <si>
    <t>NIVEDI, Bengalore</t>
  </si>
  <si>
    <t>CIRC, Meerut</t>
  </si>
  <si>
    <t>AICRP on Cattle, CIRC, Meerut</t>
  </si>
  <si>
    <t>6(67)/2018</t>
  </si>
  <si>
    <t>6(68)/2018</t>
  </si>
  <si>
    <t>Uttarakhand</t>
  </si>
  <si>
    <t>Dte. Of Foot &amp; Mouth Disease, Mukteswar</t>
  </si>
  <si>
    <t>Dte. Of Poultry Research, Hyderabad</t>
  </si>
  <si>
    <t>AICRP on Poultry, Dte. Of Poultry Research, Hyderabad</t>
  </si>
  <si>
    <t>Poultry Seed Project, Dte. Of Poultry Research, Hyderabad</t>
  </si>
  <si>
    <t>6(69)/2018</t>
  </si>
  <si>
    <t>TOTAL ANIMAL SCIENCES</t>
  </si>
  <si>
    <t>CAZRI, Johdhpur</t>
  </si>
  <si>
    <t>CRIDA,  Hyderabad</t>
  </si>
  <si>
    <t>AICRP on Dryland Agriculture, CRIDA, Hyderabad</t>
  </si>
  <si>
    <t>AICRP on Agrometeorology, CRIDA, Hyderabad</t>
  </si>
  <si>
    <t>6(71)/2018</t>
  </si>
  <si>
    <t>6(72)/2018</t>
  </si>
  <si>
    <t>IIS &amp; WC (CS &amp; WCR &amp; TI), Dehradun</t>
  </si>
  <si>
    <t>CSSRI, Karnal</t>
  </si>
  <si>
    <t>PCU-SAS, CSSRI, Karnal</t>
  </si>
  <si>
    <t>6(73)/2018</t>
  </si>
  <si>
    <t>6(74)/2018</t>
  </si>
  <si>
    <t>Meghalaya</t>
  </si>
  <si>
    <t>ICAR RC For  NEH Region.,Barapani</t>
  </si>
  <si>
    <t>6(75)/2018</t>
  </si>
  <si>
    <t>ICAR Res. Complex for Eastern Region, Patna</t>
  </si>
  <si>
    <t>6(76)/2018</t>
  </si>
  <si>
    <t>Goa</t>
  </si>
  <si>
    <t>CCARI (ICAR Res. Complex),  Goa</t>
  </si>
  <si>
    <t>IISS, Bhopal</t>
  </si>
  <si>
    <t>AICRP on Micronutrients, IISS, Bhopal</t>
  </si>
  <si>
    <t>AICRP on Biofertilizer, IISS, Bhopal</t>
  </si>
  <si>
    <t>AICRP on STCR, IISS, Bhopal</t>
  </si>
  <si>
    <t>AICRP on LTFE, IISS, Bhopal</t>
  </si>
  <si>
    <t>CRP on Conservation Agriculture, IISS, Bhopal</t>
  </si>
  <si>
    <t>6(77)/2018</t>
  </si>
  <si>
    <t>6(78)/2018</t>
  </si>
  <si>
    <t>NBSS &amp; LUP, Nagpur</t>
  </si>
  <si>
    <t>CARI,Jhansi</t>
  </si>
  <si>
    <t>AICRP on Agroforestry, CARI, Jhansi</t>
  </si>
  <si>
    <t>6(79)/2018</t>
  </si>
  <si>
    <t>IIWM, Bhubaneshwar</t>
  </si>
  <si>
    <t>AICRP on IWM,  IIWM, Bhubaneshwar</t>
  </si>
  <si>
    <t>CRP on Water, IIWM, Bhubaneshwar</t>
  </si>
  <si>
    <t>6(80)/2018</t>
  </si>
  <si>
    <t>6(81)/2018</t>
  </si>
  <si>
    <t>Dte. Of Weed Research, Jabalpur</t>
  </si>
  <si>
    <t>AICRP on Weed Management, DWR, Jabalpur</t>
  </si>
  <si>
    <t>6(82)/2018</t>
  </si>
  <si>
    <t>IIFSR, Modipuram</t>
  </si>
  <si>
    <t>AICRP on Integragted Farming System, IIFSR, Modipuram</t>
  </si>
  <si>
    <t>Network Project on Organic Farming, IIFSR, Modipuram</t>
  </si>
  <si>
    <t>6(83)/2018</t>
  </si>
  <si>
    <t>6(84)/2018</t>
  </si>
  <si>
    <t>NIASM, Baramati</t>
  </si>
  <si>
    <t>TOTAL NRM DIVISION</t>
  </si>
  <si>
    <t>NICRA,  Hyderabad</t>
  </si>
  <si>
    <t>6(85)/2018</t>
  </si>
  <si>
    <t>TOTAL CRAI/NICRA</t>
  </si>
  <si>
    <t>CIBA, Chennai</t>
  </si>
  <si>
    <t>AINP on Fish Health,  CIBA, Chennai</t>
  </si>
  <si>
    <t>6(86)/2018</t>
  </si>
  <si>
    <t>6(87)/2018</t>
  </si>
  <si>
    <t>CIFRI, Barrackpore</t>
  </si>
  <si>
    <t>6(88)/2018</t>
  </si>
  <si>
    <t>CIFA, Bhubaneshwar</t>
  </si>
  <si>
    <t>6(89)/2018</t>
  </si>
  <si>
    <t>CIFE, Mumbai</t>
  </si>
  <si>
    <t>6(90)/2018</t>
  </si>
  <si>
    <t>CIFT, Kochi</t>
  </si>
  <si>
    <t>CMFRI, Kochi</t>
  </si>
  <si>
    <t xml:space="preserve"> ANIP Mericulture, CMFRI, Kochi</t>
  </si>
  <si>
    <t>6(91)/2018</t>
  </si>
  <si>
    <t xml:space="preserve">NBFGR, Lucknow </t>
  </si>
  <si>
    <t xml:space="preserve">CRP Genomics, NBFGR, Lucknow </t>
  </si>
  <si>
    <t>6(92)/2018</t>
  </si>
  <si>
    <t>6(93)/2018</t>
  </si>
  <si>
    <t>Dte. Of Coldwater Fisheries Research, Bhimtal</t>
  </si>
  <si>
    <t xml:space="preserve">TOTAL FISHEREIES </t>
  </si>
  <si>
    <t xml:space="preserve">CIAE, Bhopal </t>
  </si>
  <si>
    <t xml:space="preserve">AICRP on FIM, CIAE, Bhopal </t>
  </si>
  <si>
    <t xml:space="preserve">AICRP on ESA, CIAE, Bhopal </t>
  </si>
  <si>
    <t xml:space="preserve">AICRP on  EAAI, CIAE, Bhopal  </t>
  </si>
  <si>
    <t xml:space="preserve">AICRP on UAE, CIAE, Bhopal </t>
  </si>
  <si>
    <t xml:space="preserve">CRP On FMPF, CIAE, Bhopal </t>
  </si>
  <si>
    <t xml:space="preserve">CRP On EA, CIAE, Bhopal </t>
  </si>
  <si>
    <t>6(94)/2018</t>
  </si>
  <si>
    <t xml:space="preserve">CIPHET, Ludhiana </t>
  </si>
  <si>
    <t xml:space="preserve">AICRP on PET, CIPHET, Ludhiana </t>
  </si>
  <si>
    <t xml:space="preserve">AICRP on PHET, CIPHET, Ludhiana </t>
  </si>
  <si>
    <t xml:space="preserve">CRP On SA, CIPHET, Ludhiana  </t>
  </si>
  <si>
    <t>6(95)/2018</t>
  </si>
  <si>
    <t xml:space="preserve">CIRCOT, Mumbai </t>
  </si>
  <si>
    <t>CRP on Natural Fibres, CIRCOT, Mumbai</t>
  </si>
  <si>
    <t>6(96)/2018</t>
  </si>
  <si>
    <t xml:space="preserve">IINRG, Ranchi </t>
  </si>
  <si>
    <t xml:space="preserve">NWP on HP VANR&amp;G, IINRG, Ranchi </t>
  </si>
  <si>
    <t xml:space="preserve">NWP on CLIGR, IINRG, Ranchi  </t>
  </si>
  <si>
    <t>6(97)/2018</t>
  </si>
  <si>
    <t>Jharkhand</t>
  </si>
  <si>
    <t>6(98)/2018</t>
  </si>
  <si>
    <t xml:space="preserve">NIRJAFT, Kolkata </t>
  </si>
  <si>
    <t>TOTAL AGRICULTURAL ENGINEERING</t>
  </si>
  <si>
    <t>6(99)/2018</t>
  </si>
  <si>
    <t>IASRI including CABin, New Delhi</t>
  </si>
  <si>
    <t>6(100)/2018</t>
  </si>
  <si>
    <t>NIAP &amp; PR, New Delhi</t>
  </si>
  <si>
    <t>TOTAL ECO. STATISTICS &amp;MANAGEMENT</t>
  </si>
  <si>
    <t>6(101)/2018</t>
  </si>
  <si>
    <t>NAARM, Hyderabad</t>
  </si>
  <si>
    <t xml:space="preserve">CIWA, Bhubaneshwar </t>
  </si>
  <si>
    <t>AICRP on Home Science, CIWA, Bhubaneshwar</t>
  </si>
  <si>
    <t>6(103)/2018</t>
  </si>
  <si>
    <t>6(102)/2018</t>
  </si>
  <si>
    <t>Agricultural Education</t>
  </si>
  <si>
    <t>TOTAL AG. EDUCATION DIVISION</t>
  </si>
  <si>
    <t>HEADQUARTERS UNIT - Krishi Bhawan</t>
  </si>
  <si>
    <t>EXTRA MURAL FUND</t>
  </si>
  <si>
    <t>AUDITORIUM</t>
  </si>
  <si>
    <t>SOCIETIES/AWARD</t>
  </si>
  <si>
    <t>NASM</t>
  </si>
  <si>
    <t>INT. COOP - CGIAR</t>
  </si>
  <si>
    <t>HRM</t>
  </si>
  <si>
    <t>Publicity and Public Relations</t>
  </si>
  <si>
    <t>CERA</t>
  </si>
  <si>
    <t>CREATION AND MAINTENANCE OF INFRASTRUCTURE</t>
  </si>
  <si>
    <t>EVALUATION OF SCHEMES</t>
  </si>
  <si>
    <t>Disaster &amp; Emergency Fund</t>
  </si>
  <si>
    <t xml:space="preserve">Research data Repository </t>
  </si>
  <si>
    <t>SAP</t>
  </si>
  <si>
    <t>6(105)/2018</t>
  </si>
  <si>
    <t>6(107)/2018</t>
  </si>
  <si>
    <t>NAIF, New Delhi</t>
  </si>
  <si>
    <t>TOTAL ICAR HQRS.</t>
  </si>
  <si>
    <t>6(108)/2018</t>
  </si>
  <si>
    <t>NASF</t>
  </si>
  <si>
    <t xml:space="preserve">TOTAL NASF </t>
  </si>
  <si>
    <t>6(109)/2018</t>
  </si>
  <si>
    <t xml:space="preserve">DKMA, New Delhi </t>
  </si>
  <si>
    <t>6(110)/2018</t>
  </si>
  <si>
    <t>ATARI ZONE-I, Ludhiana</t>
  </si>
  <si>
    <t>6(111)/2018</t>
  </si>
  <si>
    <t>ATARI ZONE-II, Jodhpur</t>
  </si>
  <si>
    <t>6(112)/2018</t>
  </si>
  <si>
    <t>ATARI ZONE-III, Kanpur</t>
  </si>
  <si>
    <t>6(113)/2018</t>
  </si>
  <si>
    <t>ATARI ZONE-IV, Patna</t>
  </si>
  <si>
    <t>6(114)/2018</t>
  </si>
  <si>
    <t>ATARI ZONE-V, Kolkata</t>
  </si>
  <si>
    <t>6(115)/2018</t>
  </si>
  <si>
    <t>ATARI ZONE-VI, Guwahati</t>
  </si>
  <si>
    <t>6(116)/2018</t>
  </si>
  <si>
    <t>ATARI ZONE-VII, Barapani</t>
  </si>
  <si>
    <t>6(117)/2018</t>
  </si>
  <si>
    <t>ATARI ZONE-VIII, Pune</t>
  </si>
  <si>
    <t>6(118)/2018</t>
  </si>
  <si>
    <t>ATARI ZONE-IX, Jabalpur</t>
  </si>
  <si>
    <t>6(119)/2018</t>
  </si>
  <si>
    <t>ATARI ZONE-X, Hyderabad</t>
  </si>
  <si>
    <t>6(120)/2018</t>
  </si>
  <si>
    <t>ATARI ZONE-XI, Bengalore</t>
  </si>
  <si>
    <t>FARMER FIRST</t>
  </si>
  <si>
    <t>ARYA PROJECT (EXT TO DKMA)</t>
  </si>
  <si>
    <t xml:space="preserve">ARYA PROJECT </t>
  </si>
  <si>
    <t>NETWORK PROJECT</t>
  </si>
  <si>
    <t>DISASTER MGMT.</t>
  </si>
  <si>
    <t>TOTAL AGRICULTURAL EXTENSION</t>
  </si>
  <si>
    <t>6(124)/2018</t>
  </si>
  <si>
    <t>NAHEP (EAP)</t>
  </si>
  <si>
    <t>GRAND TOTAL</t>
  </si>
  <si>
    <t>AICRP on Rabi Pulses(Chickpea, lentil, fieldpea)</t>
  </si>
  <si>
    <t>AICRP on Kharif Pulses(Pigeonpea, mungbean, urdbean, lathyrus, rajmash, cowpea arid lagumes)</t>
  </si>
  <si>
    <t>AICRP on Crop Pest Management(soil arthropod, agri. acrology, vertebrate pest management)</t>
  </si>
  <si>
    <t>AINP on Emerging Pests (UG 99, Wheat Blast, Sclerotinia Stem stem rot, red rot, locust, fall Army Worm)</t>
  </si>
  <si>
    <t>NIPB, New Delhi</t>
  </si>
  <si>
    <t>Translational Genomics in Crop Plants(TGCP), NIPB, New Delhi</t>
  </si>
  <si>
    <t>AICRP on Bio Tech Crops</t>
  </si>
  <si>
    <t>AICRP on Sorghum and Millets, IIMR, Hyd.</t>
  </si>
  <si>
    <t>AICRP on Oilseed(sunflower, safflower, castor, linseed)</t>
  </si>
  <si>
    <t>AICRP on Seed Crops, Mau including ICAR Seed Project</t>
  </si>
  <si>
    <t>National Centre for Honey Bees and Pollinator Research Morena, MP</t>
  </si>
  <si>
    <t>Salary</t>
  </si>
  <si>
    <t>NRC on Integrated Farming, Motihari (MGIFRI)</t>
  </si>
  <si>
    <t>bill apr-june columns linked</t>
  </si>
  <si>
    <t>BE 2022-23 (in budget circular)</t>
  </si>
  <si>
    <t xml:space="preserve">for 12 months as pr </t>
  </si>
  <si>
    <t>draft on website</t>
  </si>
  <si>
    <t>(Rs. In lakh)</t>
  </si>
  <si>
    <t>MODIFIED BE AFTER DEMANDS/SAVINGS after 17/6/2022 FIN 6(123)/2022-BUDGET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</si>
</sst>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5" tint="-0.249977111117893"/>
      <name val="Calibri"/>
      <family val="2"/>
      <scheme val="minor"/>
    </font>
    <font>
      <sz val="11"/>
      <color rgb="FF92D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rgb="FFFDE9D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4" borderId="0" xfId="0" applyFill="1" applyBorder="1" applyAlignment="1">
      <alignment vertical="top"/>
    </xf>
    <xf numFmtId="2" fontId="1" fillId="3" borderId="3" xfId="0" applyNumberFormat="1" applyFont="1" applyFill="1" applyBorder="1" applyAlignment="1"/>
    <xf numFmtId="2" fontId="1" fillId="3" borderId="1" xfId="0" applyNumberFormat="1" applyFont="1" applyFill="1" applyBorder="1" applyAlignment="1"/>
    <xf numFmtId="0" fontId="2" fillId="2" borderId="1" xfId="0" applyNumberFormat="1" applyFont="1" applyFill="1" applyBorder="1" applyAlignment="1" applyProtection="1">
      <alignment horizontal="center" vertical="top"/>
    </xf>
    <xf numFmtId="0" fontId="2" fillId="2" borderId="4" xfId="0" applyNumberFormat="1" applyFont="1" applyFill="1" applyBorder="1" applyAlignment="1" applyProtection="1">
      <alignment horizontal="center" vertical="top"/>
    </xf>
    <xf numFmtId="2" fontId="2" fillId="2" borderId="1" xfId="0" applyNumberFormat="1" applyFont="1" applyFill="1" applyBorder="1" applyAlignment="1" applyProtection="1">
      <alignment horizontal="left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 wrapText="1"/>
    </xf>
    <xf numFmtId="2" fontId="3" fillId="5" borderId="1" xfId="0" applyNumberFormat="1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 applyProtection="1">
      <alignment horizontal="center" vertical="top"/>
    </xf>
    <xf numFmtId="0" fontId="4" fillId="3" borderId="4" xfId="0" applyNumberFormat="1" applyFont="1" applyFill="1" applyBorder="1" applyAlignment="1" applyProtection="1">
      <alignment horizontal="center" vertical="top"/>
    </xf>
    <xf numFmtId="2" fontId="5" fillId="3" borderId="1" xfId="0" applyNumberFormat="1" applyFont="1" applyFill="1" applyBorder="1" applyAlignment="1" applyProtection="1">
      <alignment horizontal="left" vertical="top" wrapText="1"/>
    </xf>
    <xf numFmtId="2" fontId="0" fillId="3" borderId="1" xfId="0" applyNumberFormat="1" applyFont="1" applyFill="1" applyBorder="1" applyAlignment="1">
      <alignment vertical="top"/>
    </xf>
    <xf numFmtId="0" fontId="3" fillId="3" borderId="1" xfId="0" applyNumberFormat="1" applyFont="1" applyFill="1" applyBorder="1" applyAlignment="1" applyProtection="1">
      <alignment horizontal="center" vertical="top"/>
    </xf>
    <xf numFmtId="0" fontId="3" fillId="3" borderId="4" xfId="0" applyNumberFormat="1" applyFont="1" applyFill="1" applyBorder="1" applyAlignment="1" applyProtection="1">
      <alignment horizontal="center" vertical="top"/>
    </xf>
    <xf numFmtId="2" fontId="2" fillId="3" borderId="1" xfId="0" applyNumberFormat="1" applyFont="1" applyFill="1" applyBorder="1" applyAlignment="1" applyProtection="1">
      <alignment horizontal="left" vertical="top" wrapText="1"/>
    </xf>
    <xf numFmtId="2" fontId="1" fillId="3" borderId="1" xfId="0" applyNumberFormat="1" applyFont="1" applyFill="1" applyBorder="1" applyAlignment="1">
      <alignment vertical="top"/>
    </xf>
    <xf numFmtId="0" fontId="6" fillId="3" borderId="1" xfId="0" applyNumberFormat="1" applyFont="1" applyFill="1" applyBorder="1" applyAlignment="1" applyProtection="1">
      <alignment horizontal="center" vertical="top"/>
    </xf>
    <xf numFmtId="0" fontId="0" fillId="0" borderId="1" xfId="0" applyNumberFormat="1" applyBorder="1" applyAlignment="1" applyProtection="1">
      <alignment horizontal="center" vertical="top"/>
    </xf>
    <xf numFmtId="0" fontId="0" fillId="0" borderId="4" xfId="0" applyNumberFormat="1" applyBorder="1" applyAlignment="1" applyProtection="1">
      <alignment horizontal="center" vertical="top"/>
    </xf>
    <xf numFmtId="2" fontId="0" fillId="0" borderId="1" xfId="0" applyNumberFormat="1" applyBorder="1" applyAlignment="1" applyProtection="1">
      <alignment horizontal="left" vertical="top" wrapText="1"/>
    </xf>
    <xf numFmtId="2" fontId="1" fillId="4" borderId="1" xfId="0" applyNumberFormat="1" applyFont="1" applyFill="1" applyBorder="1" applyAlignment="1">
      <alignment vertical="top" wrapText="1"/>
    </xf>
    <xf numFmtId="2" fontId="0" fillId="0" borderId="1" xfId="0" applyNumberFormat="1" applyBorder="1"/>
    <xf numFmtId="0" fontId="1" fillId="0" borderId="0" xfId="0" applyFont="1"/>
    <xf numFmtId="2" fontId="0" fillId="3" borderId="1" xfId="0" applyNumberFormat="1" applyFill="1" applyBorder="1"/>
    <xf numFmtId="0" fontId="0" fillId="2" borderId="0" xfId="0" applyFill="1"/>
    <xf numFmtId="2" fontId="1" fillId="0" borderId="1" xfId="0" applyNumberFormat="1" applyFont="1" applyBorder="1"/>
    <xf numFmtId="2" fontId="0" fillId="3" borderId="1" xfId="0" applyNumberFormat="1" applyFont="1" applyFill="1" applyBorder="1"/>
    <xf numFmtId="2" fontId="8" fillId="3" borderId="1" xfId="0" applyNumberFormat="1" applyFont="1" applyFill="1" applyBorder="1"/>
    <xf numFmtId="2" fontId="9" fillId="3" borderId="1" xfId="0" applyNumberFormat="1" applyFont="1" applyFill="1" applyBorder="1"/>
    <xf numFmtId="0" fontId="0" fillId="6" borderId="0" xfId="0" applyFill="1"/>
    <xf numFmtId="2" fontId="15" fillId="3" borderId="1" xfId="0" applyNumberFormat="1" applyFont="1" applyFill="1" applyBorder="1"/>
    <xf numFmtId="2" fontId="14" fillId="3" borderId="1" xfId="0" applyNumberFormat="1" applyFont="1" applyFill="1" applyBorder="1"/>
    <xf numFmtId="2" fontId="7" fillId="3" borderId="1" xfId="0" applyNumberFormat="1" applyFont="1" applyFill="1" applyBorder="1" applyAlignment="1"/>
    <xf numFmtId="2" fontId="1" fillId="3" borderId="1" xfId="0" applyNumberFormat="1" applyFont="1" applyFill="1" applyBorder="1" applyAlignment="1" applyProtection="1">
      <alignment horizontal="left" vertical="top"/>
    </xf>
    <xf numFmtId="2" fontId="3" fillId="3" borderId="4" xfId="0" applyNumberFormat="1" applyFont="1" applyFill="1" applyBorder="1" applyAlignment="1" applyProtection="1">
      <alignment horizontal="center" vertical="top"/>
    </xf>
    <xf numFmtId="2" fontId="12" fillId="7" borderId="1" xfId="0" applyNumberFormat="1" applyFont="1" applyFill="1" applyBorder="1" applyAlignment="1">
      <alignment horizontal="left" vertical="top" wrapText="1"/>
    </xf>
    <xf numFmtId="2" fontId="13" fillId="7" borderId="1" xfId="0" applyNumberFormat="1" applyFont="1" applyFill="1" applyBorder="1" applyAlignment="1">
      <alignment horizontal="left" vertical="top" wrapText="1"/>
    </xf>
    <xf numFmtId="2" fontId="1" fillId="0" borderId="4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4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</cellXfs>
  <cellStyles count="1">
    <cellStyle name="Normal" xfId="0" builtinId="0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0"/>
  <sheetViews>
    <sheetView tabSelected="1" view="pageBreakPreview" zoomScaleNormal="80" zoomScaleSheetLayoutView="100" workbookViewId="0">
      <pane xSplit="4" ySplit="4" topLeftCell="E59" activePane="bottomRight" state="frozen"/>
      <selection pane="topRight" activeCell="E1" sqref="E1"/>
      <selection pane="bottomLeft" activeCell="A5" sqref="A5"/>
      <selection pane="bottomRight" activeCell="M3" sqref="M3:N3"/>
    </sheetView>
  </sheetViews>
  <sheetFormatPr defaultRowHeight="15"/>
  <cols>
    <col min="1" max="1" width="9.28515625" style="19" bestFit="1" customWidth="1"/>
    <col min="2" max="2" width="15.85546875" style="19" hidden="1" customWidth="1"/>
    <col min="3" max="3" width="21.5703125" style="20" hidden="1" customWidth="1"/>
    <col min="4" max="4" width="56" style="21" customWidth="1"/>
    <col min="5" max="5" width="10" style="23" hidden="1" customWidth="1"/>
    <col min="6" max="6" width="9.28515625" style="23" hidden="1" customWidth="1"/>
    <col min="7" max="7" width="10.5703125" style="23" hidden="1" customWidth="1"/>
    <col min="8" max="8" width="10" style="23" hidden="1" customWidth="1"/>
    <col min="9" max="9" width="10.7109375" style="23" hidden="1" customWidth="1"/>
    <col min="10" max="10" width="9.5703125" style="23" hidden="1" customWidth="1"/>
    <col min="11" max="11" width="9.85546875" style="23" hidden="1" customWidth="1"/>
    <col min="12" max="12" width="11.140625" style="23" hidden="1" customWidth="1"/>
    <col min="13" max="13" width="9.85546875" style="23" customWidth="1"/>
    <col min="14" max="14" width="13.140625" style="23" customWidth="1"/>
  </cols>
  <sheetData>
    <row r="1" spans="1:14" ht="8.25" customHeight="1">
      <c r="A1" s="1"/>
      <c r="B1" s="2"/>
      <c r="C1" s="2"/>
      <c r="D1" s="3" t="s">
        <v>1</v>
      </c>
    </row>
    <row r="2" spans="1:14" ht="28.5" customHeight="1">
      <c r="A2" s="4"/>
      <c r="B2" s="4"/>
      <c r="C2" s="5"/>
      <c r="D2" s="6"/>
      <c r="N2" s="27" t="s">
        <v>406</v>
      </c>
    </row>
    <row r="3" spans="1:14" ht="69" customHeight="1">
      <c r="A3" s="4"/>
      <c r="B3" s="4"/>
      <c r="C3" s="5"/>
      <c r="D3" s="6"/>
      <c r="E3" s="39" t="s">
        <v>402</v>
      </c>
      <c r="F3" s="40"/>
      <c r="G3" s="39" t="s">
        <v>403</v>
      </c>
      <c r="H3" s="40"/>
      <c r="I3" s="39" t="s">
        <v>404</v>
      </c>
      <c r="J3" s="40"/>
      <c r="K3" s="43" t="s">
        <v>405</v>
      </c>
      <c r="L3" s="44"/>
      <c r="M3" s="41" t="s">
        <v>407</v>
      </c>
      <c r="N3" s="42"/>
    </row>
    <row r="4" spans="1:14" ht="15.75">
      <c r="A4" s="7" t="s">
        <v>2</v>
      </c>
      <c r="B4" s="7" t="s">
        <v>3</v>
      </c>
      <c r="C4" s="8" t="s">
        <v>4</v>
      </c>
      <c r="D4" s="9" t="s">
        <v>5</v>
      </c>
      <c r="E4" s="22" t="s">
        <v>400</v>
      </c>
      <c r="F4" s="22" t="s">
        <v>0</v>
      </c>
      <c r="G4" s="22" t="s">
        <v>400</v>
      </c>
      <c r="H4" s="22" t="s">
        <v>0</v>
      </c>
      <c r="I4" s="22" t="s">
        <v>400</v>
      </c>
      <c r="J4" s="22" t="s">
        <v>0</v>
      </c>
      <c r="K4" s="22" t="s">
        <v>400</v>
      </c>
      <c r="L4" s="22" t="s">
        <v>0</v>
      </c>
      <c r="M4" s="22" t="s">
        <v>400</v>
      </c>
      <c r="N4" s="22" t="s">
        <v>0</v>
      </c>
    </row>
    <row r="5" spans="1:14" ht="18.75">
      <c r="A5" s="10">
        <v>1</v>
      </c>
      <c r="B5" s="10"/>
      <c r="C5" s="11"/>
      <c r="D5" s="12" t="s">
        <v>6</v>
      </c>
      <c r="E5" s="29">
        <f>800-25</f>
        <v>775</v>
      </c>
      <c r="F5" s="29">
        <f>300-150</f>
        <v>150</v>
      </c>
      <c r="G5" s="25">
        <v>2872</v>
      </c>
      <c r="H5" s="25">
        <v>660</v>
      </c>
      <c r="I5" s="25">
        <f>ROUND(E5/3*12,2)</f>
        <v>3100</v>
      </c>
      <c r="J5" s="25">
        <f>ROUND(F5/3*12,2)</f>
        <v>600</v>
      </c>
      <c r="K5" s="25">
        <f>IF(G5&lt;I5,G5,I5)</f>
        <v>2872</v>
      </c>
      <c r="L5" s="25">
        <f>IF(H5&lt;J5,H5,J5)</f>
        <v>600</v>
      </c>
      <c r="M5" s="25">
        <v>2872</v>
      </c>
      <c r="N5" s="25">
        <v>660</v>
      </c>
    </row>
    <row r="6" spans="1:14" ht="18.75">
      <c r="A6" s="10">
        <v>2</v>
      </c>
      <c r="B6" s="10"/>
      <c r="C6" s="11"/>
      <c r="D6" s="12" t="s">
        <v>7</v>
      </c>
      <c r="E6" s="25">
        <v>330</v>
      </c>
      <c r="F6" s="25">
        <v>0</v>
      </c>
      <c r="G6" s="25">
        <v>1306.17</v>
      </c>
      <c r="H6" s="25"/>
      <c r="I6" s="25">
        <f>ROUND(E6/3*12,2)</f>
        <v>1320</v>
      </c>
      <c r="J6" s="25">
        <f>ROUND(F6/3*12,2)</f>
        <v>0</v>
      </c>
      <c r="K6" s="25">
        <f>IF(G6&lt;I6,G6,I6)</f>
        <v>1306.17</v>
      </c>
      <c r="L6" s="25">
        <f>IF(H6&lt;J6,H6,J6)</f>
        <v>0</v>
      </c>
      <c r="M6" s="25">
        <v>1306.17</v>
      </c>
      <c r="N6" s="25">
        <v>0</v>
      </c>
    </row>
    <row r="7" spans="1:14" ht="18.75">
      <c r="A7" s="14"/>
      <c r="B7" s="14" t="s">
        <v>8</v>
      </c>
      <c r="C7" s="15" t="s">
        <v>9</v>
      </c>
      <c r="D7" s="16" t="s">
        <v>6</v>
      </c>
      <c r="E7" s="17">
        <f t="shared" ref="E7:I7" si="0">+E5+E6</f>
        <v>1105</v>
      </c>
      <c r="F7" s="17">
        <f t="shared" si="0"/>
        <v>150</v>
      </c>
      <c r="G7" s="17">
        <f t="shared" si="0"/>
        <v>4178.17</v>
      </c>
      <c r="H7" s="17">
        <f t="shared" si="0"/>
        <v>660</v>
      </c>
      <c r="I7" s="17">
        <f t="shared" si="0"/>
        <v>4420</v>
      </c>
      <c r="J7" s="17">
        <f t="shared" ref="J7:N7" si="1">+J5+J6</f>
        <v>600</v>
      </c>
      <c r="K7" s="17">
        <f t="shared" si="1"/>
        <v>4178.17</v>
      </c>
      <c r="L7" s="17">
        <f t="shared" si="1"/>
        <v>600</v>
      </c>
      <c r="M7" s="17">
        <f t="shared" si="1"/>
        <v>4178.17</v>
      </c>
      <c r="N7" s="17">
        <f t="shared" si="1"/>
        <v>660</v>
      </c>
    </row>
    <row r="8" spans="1:14" ht="18.75">
      <c r="A8" s="10">
        <v>3</v>
      </c>
      <c r="B8" s="10"/>
      <c r="C8" s="11"/>
      <c r="D8" s="12" t="s">
        <v>10</v>
      </c>
      <c r="E8" s="29">
        <f>725-65</f>
        <v>660</v>
      </c>
      <c r="F8" s="25">
        <v>45</v>
      </c>
      <c r="G8" s="25">
        <v>2407.1999999999998</v>
      </c>
      <c r="H8" s="25">
        <v>325</v>
      </c>
      <c r="I8" s="25">
        <f>ROUND(E8/3*12,2)</f>
        <v>2640</v>
      </c>
      <c r="J8" s="25">
        <f>ROUND(F8/3*12,2)</f>
        <v>180</v>
      </c>
      <c r="K8" s="25">
        <f>IF(G8&lt;I8,G8,I8)</f>
        <v>2407.1999999999998</v>
      </c>
      <c r="L8" s="25">
        <f>IF(H8&lt;J8,H8,J8)</f>
        <v>180</v>
      </c>
      <c r="M8" s="25">
        <v>2407.1999999999998</v>
      </c>
      <c r="N8" s="25">
        <v>350</v>
      </c>
    </row>
    <row r="9" spans="1:14" ht="18.75">
      <c r="A9" s="10">
        <v>4</v>
      </c>
      <c r="B9" s="10"/>
      <c r="C9" s="11"/>
      <c r="D9" s="12" t="s">
        <v>11</v>
      </c>
      <c r="E9" s="25">
        <v>105</v>
      </c>
      <c r="F9" s="25">
        <v>0</v>
      </c>
      <c r="G9" s="25">
        <v>591.87</v>
      </c>
      <c r="H9" s="25"/>
      <c r="I9" s="25">
        <f>ROUND(E9/3*12,2)</f>
        <v>420</v>
      </c>
      <c r="J9" s="25">
        <f>ROUND(F9/3*12,2)</f>
        <v>0</v>
      </c>
      <c r="K9" s="25">
        <f>IF(G9&lt;I9,G9,I9)</f>
        <v>420</v>
      </c>
      <c r="L9" s="25">
        <f>IF(H9&lt;J9,H9,J9)</f>
        <v>0</v>
      </c>
      <c r="M9" s="25">
        <v>420</v>
      </c>
      <c r="N9" s="25">
        <v>0</v>
      </c>
    </row>
    <row r="10" spans="1:14" ht="18.75">
      <c r="A10" s="14"/>
      <c r="B10" s="14" t="s">
        <v>12</v>
      </c>
      <c r="C10" s="15" t="s">
        <v>13</v>
      </c>
      <c r="D10" s="16" t="s">
        <v>10</v>
      </c>
      <c r="E10" s="17">
        <f t="shared" ref="E10:H10" si="2">+E8+E9</f>
        <v>765</v>
      </c>
      <c r="F10" s="17">
        <f t="shared" si="2"/>
        <v>45</v>
      </c>
      <c r="G10" s="17">
        <f t="shared" si="2"/>
        <v>2999.0699999999997</v>
      </c>
      <c r="H10" s="17">
        <f t="shared" si="2"/>
        <v>325</v>
      </c>
      <c r="I10" s="17">
        <f t="shared" ref="I10:N10" si="3">+I8+I9</f>
        <v>3060</v>
      </c>
      <c r="J10" s="17">
        <f t="shared" si="3"/>
        <v>180</v>
      </c>
      <c r="K10" s="17">
        <f t="shared" si="3"/>
        <v>2827.2</v>
      </c>
      <c r="L10" s="17">
        <f t="shared" si="3"/>
        <v>180</v>
      </c>
      <c r="M10" s="17">
        <f t="shared" si="3"/>
        <v>2827.2</v>
      </c>
      <c r="N10" s="17">
        <f t="shared" si="3"/>
        <v>350</v>
      </c>
    </row>
    <row r="11" spans="1:14" ht="18.75">
      <c r="A11" s="10">
        <v>5</v>
      </c>
      <c r="B11" s="10"/>
      <c r="C11" s="11"/>
      <c r="D11" s="12" t="s">
        <v>14</v>
      </c>
      <c r="E11" s="29">
        <f>1050-25</f>
        <v>1025</v>
      </c>
      <c r="F11" s="29">
        <f>1550-250</f>
        <v>1300</v>
      </c>
      <c r="G11" s="25">
        <v>4000</v>
      </c>
      <c r="H11" s="25">
        <v>4600</v>
      </c>
      <c r="I11" s="25">
        <f>ROUND(E11/3*12,2)</f>
        <v>4100</v>
      </c>
      <c r="J11" s="25">
        <f>ROUND(F11/3*12,2)</f>
        <v>5200</v>
      </c>
      <c r="K11" s="25">
        <f>IF(G11&lt;I11,G11,I11)</f>
        <v>4000</v>
      </c>
      <c r="L11" s="25">
        <f>IF(H11&lt;J11,H11,J11)</f>
        <v>4600</v>
      </c>
      <c r="M11" s="25">
        <v>4000</v>
      </c>
      <c r="N11" s="25">
        <v>4600</v>
      </c>
    </row>
    <row r="12" spans="1:14" ht="37.5">
      <c r="A12" s="10">
        <v>6</v>
      </c>
      <c r="B12" s="10"/>
      <c r="C12" s="11"/>
      <c r="D12" s="12" t="s">
        <v>15</v>
      </c>
      <c r="E12" s="25">
        <v>0</v>
      </c>
      <c r="F12" s="25">
        <v>0</v>
      </c>
      <c r="G12" s="25">
        <v>0</v>
      </c>
      <c r="H12" s="25">
        <v>0</v>
      </c>
      <c r="I12" s="25">
        <f>ROUND(E12/3*12,2)</f>
        <v>0</v>
      </c>
      <c r="J12" s="25">
        <f>ROUND(F12/3*12,2)</f>
        <v>0</v>
      </c>
      <c r="K12" s="25">
        <f>IF(G12&lt;I12,G12,I12)</f>
        <v>0</v>
      </c>
      <c r="L12" s="25">
        <f>IF(H12&lt;J12,H12,J12)</f>
        <v>0</v>
      </c>
      <c r="M12" s="25">
        <v>0</v>
      </c>
      <c r="N12" s="25">
        <v>0</v>
      </c>
    </row>
    <row r="13" spans="1:14" s="31" customFormat="1" ht="18.75">
      <c r="A13" s="14"/>
      <c r="B13" s="14" t="s">
        <v>16</v>
      </c>
      <c r="C13" s="15" t="s">
        <v>17</v>
      </c>
      <c r="D13" s="16" t="s">
        <v>14</v>
      </c>
      <c r="E13" s="13">
        <f t="shared" ref="E13:H13" si="4">+E11+E12</f>
        <v>1025</v>
      </c>
      <c r="F13" s="13">
        <f t="shared" si="4"/>
        <v>1300</v>
      </c>
      <c r="G13" s="13">
        <f t="shared" si="4"/>
        <v>4000</v>
      </c>
      <c r="H13" s="13">
        <f t="shared" si="4"/>
        <v>4600</v>
      </c>
      <c r="I13" s="13">
        <f t="shared" ref="I13:N13" si="5">+I11+I12</f>
        <v>4100</v>
      </c>
      <c r="J13" s="13">
        <f t="shared" si="5"/>
        <v>5200</v>
      </c>
      <c r="K13" s="13">
        <f t="shared" si="5"/>
        <v>4000</v>
      </c>
      <c r="L13" s="13">
        <f t="shared" si="5"/>
        <v>4600</v>
      </c>
      <c r="M13" s="13">
        <f t="shared" si="5"/>
        <v>4000</v>
      </c>
      <c r="N13" s="13">
        <f t="shared" si="5"/>
        <v>4600</v>
      </c>
    </row>
    <row r="14" spans="1:14" ht="18.75">
      <c r="A14" s="10">
        <v>7</v>
      </c>
      <c r="B14" s="10"/>
      <c r="C14" s="11"/>
      <c r="D14" s="12" t="s">
        <v>18</v>
      </c>
      <c r="E14" s="25">
        <v>475</v>
      </c>
      <c r="F14" s="29">
        <f>870-170</f>
        <v>700</v>
      </c>
      <c r="G14" s="25">
        <v>1900</v>
      </c>
      <c r="H14" s="25">
        <v>2800</v>
      </c>
      <c r="I14" s="25">
        <f>ROUND(E14/3*12,2)</f>
        <v>1900</v>
      </c>
      <c r="J14" s="25">
        <f>ROUND(F14/3*12,2)</f>
        <v>2800</v>
      </c>
      <c r="K14" s="25">
        <f>IF(G14&lt;I14,G14,I14)</f>
        <v>1900</v>
      </c>
      <c r="L14" s="25">
        <f>IF(H14&lt;J14,H14,J14)</f>
        <v>2800</v>
      </c>
      <c r="M14" s="25">
        <v>1900</v>
      </c>
      <c r="N14" s="25">
        <v>2800</v>
      </c>
    </row>
    <row r="15" spans="1:14" ht="18.75">
      <c r="A15" s="10">
        <v>8</v>
      </c>
      <c r="B15" s="10"/>
      <c r="C15" s="11"/>
      <c r="D15" s="12" t="s">
        <v>19</v>
      </c>
      <c r="E15" s="29">
        <f>80-10</f>
        <v>70</v>
      </c>
      <c r="F15" s="25">
        <v>0</v>
      </c>
      <c r="G15" s="25">
        <v>121.42</v>
      </c>
      <c r="H15" s="25"/>
      <c r="I15" s="25">
        <f>ROUND(E15/3*12,2)</f>
        <v>280</v>
      </c>
      <c r="J15" s="25">
        <f>ROUND(F15/3*12,2)</f>
        <v>0</v>
      </c>
      <c r="K15" s="25">
        <f>IF(G15&lt;I15,G15,I15)</f>
        <v>121.42</v>
      </c>
      <c r="L15" s="25">
        <f>IF(H15&lt;J15,H15,J15)</f>
        <v>0</v>
      </c>
      <c r="M15" s="25">
        <v>121.42</v>
      </c>
      <c r="N15" s="25">
        <v>0</v>
      </c>
    </row>
    <row r="16" spans="1:14" ht="18.75">
      <c r="A16" s="14"/>
      <c r="B16" s="14" t="s">
        <v>20</v>
      </c>
      <c r="C16" s="15" t="s">
        <v>21</v>
      </c>
      <c r="D16" s="16" t="s">
        <v>18</v>
      </c>
      <c r="E16" s="17">
        <f t="shared" ref="E16:H16" si="6">+E14+E15</f>
        <v>545</v>
      </c>
      <c r="F16" s="17">
        <f t="shared" si="6"/>
        <v>700</v>
      </c>
      <c r="G16" s="17">
        <f t="shared" si="6"/>
        <v>2021.42</v>
      </c>
      <c r="H16" s="17">
        <f t="shared" si="6"/>
        <v>2800</v>
      </c>
      <c r="I16" s="17">
        <f t="shared" ref="I16:N16" si="7">+I14+I15</f>
        <v>2180</v>
      </c>
      <c r="J16" s="17">
        <f t="shared" si="7"/>
        <v>2800</v>
      </c>
      <c r="K16" s="17">
        <f t="shared" si="7"/>
        <v>2021.42</v>
      </c>
      <c r="L16" s="17">
        <f t="shared" si="7"/>
        <v>2800</v>
      </c>
      <c r="M16" s="17">
        <f t="shared" si="7"/>
        <v>2021.42</v>
      </c>
      <c r="N16" s="17">
        <f t="shared" si="7"/>
        <v>2800</v>
      </c>
    </row>
    <row r="17" spans="1:14" ht="18.75">
      <c r="A17" s="10">
        <v>9</v>
      </c>
      <c r="B17" s="10"/>
      <c r="C17" s="11"/>
      <c r="D17" s="12" t="s">
        <v>22</v>
      </c>
      <c r="E17" s="25">
        <v>6200</v>
      </c>
      <c r="F17" s="29">
        <f>6400-900</f>
        <v>5500</v>
      </c>
      <c r="G17" s="25">
        <v>32165</v>
      </c>
      <c r="H17" s="25">
        <v>23023</v>
      </c>
      <c r="I17" s="25">
        <f t="shared" ref="I17:J23" si="8">ROUND(E17/3*12,2)</f>
        <v>24800</v>
      </c>
      <c r="J17" s="25">
        <f t="shared" si="8"/>
        <v>22000</v>
      </c>
      <c r="K17" s="25">
        <f t="shared" ref="K17:L23" si="9">IF(G17&lt;I17,G17,I17)</f>
        <v>24800</v>
      </c>
      <c r="L17" s="25">
        <f t="shared" si="9"/>
        <v>22000</v>
      </c>
      <c r="M17" s="25">
        <v>24800</v>
      </c>
      <c r="N17" s="25">
        <v>22000</v>
      </c>
    </row>
    <row r="18" spans="1:14" ht="18.75">
      <c r="A18" s="10">
        <v>10</v>
      </c>
      <c r="B18" s="10"/>
      <c r="C18" s="11"/>
      <c r="D18" s="12" t="s">
        <v>23</v>
      </c>
      <c r="E18" s="25">
        <v>100</v>
      </c>
      <c r="F18" s="25">
        <v>0</v>
      </c>
      <c r="G18" s="25">
        <v>555.36</v>
      </c>
      <c r="H18" s="25"/>
      <c r="I18" s="25">
        <f t="shared" si="8"/>
        <v>400</v>
      </c>
      <c r="J18" s="25">
        <f t="shared" si="8"/>
        <v>0</v>
      </c>
      <c r="K18" s="25">
        <f t="shared" si="9"/>
        <v>400</v>
      </c>
      <c r="L18" s="25">
        <f t="shared" si="9"/>
        <v>0</v>
      </c>
      <c r="M18" s="25">
        <v>400</v>
      </c>
      <c r="N18" s="25">
        <v>0</v>
      </c>
    </row>
    <row r="19" spans="1:14" ht="18.75">
      <c r="A19" s="10">
        <v>11</v>
      </c>
      <c r="B19" s="10"/>
      <c r="C19" s="11"/>
      <c r="D19" s="12" t="s">
        <v>24</v>
      </c>
      <c r="E19" s="25">
        <v>55</v>
      </c>
      <c r="F19" s="25">
        <v>0</v>
      </c>
      <c r="G19" s="25">
        <v>198</v>
      </c>
      <c r="H19" s="25"/>
      <c r="I19" s="25">
        <f t="shared" si="8"/>
        <v>220</v>
      </c>
      <c r="J19" s="25">
        <f t="shared" si="8"/>
        <v>0</v>
      </c>
      <c r="K19" s="25">
        <f t="shared" si="9"/>
        <v>198</v>
      </c>
      <c r="L19" s="25">
        <f t="shared" si="9"/>
        <v>0</v>
      </c>
      <c r="M19" s="25">
        <v>198</v>
      </c>
      <c r="N19" s="25">
        <v>0</v>
      </c>
    </row>
    <row r="20" spans="1:14" ht="18.75">
      <c r="A20" s="10">
        <v>12</v>
      </c>
      <c r="B20" s="10"/>
      <c r="C20" s="11"/>
      <c r="D20" s="12" t="s">
        <v>25</v>
      </c>
      <c r="E20" s="25">
        <v>0</v>
      </c>
      <c r="F20" s="25">
        <v>0</v>
      </c>
      <c r="G20" s="25"/>
      <c r="H20" s="25"/>
      <c r="I20" s="25">
        <f t="shared" si="8"/>
        <v>0</v>
      </c>
      <c r="J20" s="25">
        <f t="shared" si="8"/>
        <v>0</v>
      </c>
      <c r="K20" s="25">
        <f t="shared" si="9"/>
        <v>0</v>
      </c>
      <c r="L20" s="25">
        <f t="shared" si="9"/>
        <v>0</v>
      </c>
      <c r="M20" s="25">
        <v>0</v>
      </c>
      <c r="N20" s="25">
        <v>0</v>
      </c>
    </row>
    <row r="21" spans="1:14" ht="18.75">
      <c r="A21" s="10">
        <v>13</v>
      </c>
      <c r="B21" s="10"/>
      <c r="C21" s="11"/>
      <c r="D21" s="12" t="s">
        <v>26</v>
      </c>
      <c r="E21" s="25">
        <v>0</v>
      </c>
      <c r="F21" s="25">
        <v>0</v>
      </c>
      <c r="G21" s="25"/>
      <c r="H21" s="25"/>
      <c r="I21" s="25">
        <f t="shared" si="8"/>
        <v>0</v>
      </c>
      <c r="J21" s="25">
        <f t="shared" si="8"/>
        <v>0</v>
      </c>
      <c r="K21" s="25">
        <f t="shared" si="9"/>
        <v>0</v>
      </c>
      <c r="L21" s="25">
        <f t="shared" si="9"/>
        <v>0</v>
      </c>
      <c r="M21" s="25">
        <v>0</v>
      </c>
      <c r="N21" s="25">
        <v>0</v>
      </c>
    </row>
    <row r="22" spans="1:14" ht="18.75">
      <c r="A22" s="10">
        <v>49</v>
      </c>
      <c r="B22" s="10"/>
      <c r="C22" s="11"/>
      <c r="D22" s="12" t="s">
        <v>27</v>
      </c>
      <c r="E22" s="25">
        <v>90</v>
      </c>
      <c r="F22" s="25">
        <v>0</v>
      </c>
      <c r="G22" s="25">
        <v>375</v>
      </c>
      <c r="H22" s="25"/>
      <c r="I22" s="25">
        <f t="shared" si="8"/>
        <v>360</v>
      </c>
      <c r="J22" s="25">
        <f t="shared" si="8"/>
        <v>0</v>
      </c>
      <c r="K22" s="25">
        <f t="shared" si="9"/>
        <v>360</v>
      </c>
      <c r="L22" s="25">
        <f t="shared" si="9"/>
        <v>0</v>
      </c>
      <c r="M22" s="25">
        <v>360</v>
      </c>
      <c r="N22" s="25">
        <v>0</v>
      </c>
    </row>
    <row r="23" spans="1:14" ht="18.75">
      <c r="A23" s="10">
        <v>14</v>
      </c>
      <c r="B23" s="10"/>
      <c r="C23" s="11"/>
      <c r="D23" s="12" t="s">
        <v>28</v>
      </c>
      <c r="E23" s="25">
        <v>0</v>
      </c>
      <c r="F23" s="25">
        <v>0</v>
      </c>
      <c r="G23" s="25">
        <v>5.46</v>
      </c>
      <c r="H23" s="25"/>
      <c r="I23" s="25">
        <f t="shared" si="8"/>
        <v>0</v>
      </c>
      <c r="J23" s="25">
        <f t="shared" si="8"/>
        <v>0</v>
      </c>
      <c r="K23" s="25">
        <f t="shared" si="9"/>
        <v>0</v>
      </c>
      <c r="L23" s="25">
        <f t="shared" si="9"/>
        <v>0</v>
      </c>
      <c r="M23" s="25">
        <v>0</v>
      </c>
      <c r="N23" s="25">
        <v>0</v>
      </c>
    </row>
    <row r="24" spans="1:14" ht="18.75">
      <c r="A24" s="10"/>
      <c r="B24" s="10"/>
      <c r="C24" s="11"/>
      <c r="D24" s="12" t="s">
        <v>29</v>
      </c>
      <c r="E24" s="17">
        <f t="shared" ref="E24:H24" si="10">+E17+E18+E19+E20+E21+E22+E23</f>
        <v>6445</v>
      </c>
      <c r="F24" s="17">
        <f t="shared" si="10"/>
        <v>5500</v>
      </c>
      <c r="G24" s="17">
        <f t="shared" si="10"/>
        <v>33298.82</v>
      </c>
      <c r="H24" s="17">
        <f t="shared" si="10"/>
        <v>23023</v>
      </c>
      <c r="I24" s="17">
        <f t="shared" ref="I24:N24" si="11">+I17+I18+I19+I20+I21+I22+I23</f>
        <v>25780</v>
      </c>
      <c r="J24" s="17">
        <f t="shared" si="11"/>
        <v>22000</v>
      </c>
      <c r="K24" s="17">
        <f t="shared" si="11"/>
        <v>25758</v>
      </c>
      <c r="L24" s="17">
        <f t="shared" si="11"/>
        <v>22000</v>
      </c>
      <c r="M24" s="17">
        <f t="shared" si="11"/>
        <v>25758</v>
      </c>
      <c r="N24" s="17">
        <f t="shared" si="11"/>
        <v>22000</v>
      </c>
    </row>
    <row r="25" spans="1:14" ht="18.75">
      <c r="A25" s="10">
        <v>15</v>
      </c>
      <c r="B25" s="10"/>
      <c r="C25" s="11"/>
      <c r="D25" s="12" t="s">
        <v>30</v>
      </c>
      <c r="E25" s="25">
        <v>120</v>
      </c>
      <c r="F25" s="25">
        <v>0</v>
      </c>
      <c r="G25" s="25">
        <v>550</v>
      </c>
      <c r="H25" s="25"/>
      <c r="I25" s="25">
        <f>ROUND(E25/3*12,2)</f>
        <v>480</v>
      </c>
      <c r="J25" s="25">
        <f>ROUND(F25/3*12,2)</f>
        <v>0</v>
      </c>
      <c r="K25" s="25">
        <f>IF(G25&lt;I25,G25,I25)</f>
        <v>480</v>
      </c>
      <c r="L25" s="25">
        <f>IF(H25&lt;J25,H25,J25)</f>
        <v>0</v>
      </c>
      <c r="M25" s="25">
        <v>480</v>
      </c>
      <c r="N25" s="25">
        <v>0</v>
      </c>
    </row>
    <row r="26" spans="1:14" ht="18.75">
      <c r="A26" s="14"/>
      <c r="B26" s="14" t="s">
        <v>31</v>
      </c>
      <c r="C26" s="15" t="s">
        <v>32</v>
      </c>
      <c r="D26" s="16" t="s">
        <v>22</v>
      </c>
      <c r="E26" s="17">
        <f t="shared" ref="E26:H26" si="12">+E24+E25</f>
        <v>6565</v>
      </c>
      <c r="F26" s="17">
        <f t="shared" si="12"/>
        <v>5500</v>
      </c>
      <c r="G26" s="17">
        <f t="shared" si="12"/>
        <v>33848.82</v>
      </c>
      <c r="H26" s="17">
        <f t="shared" si="12"/>
        <v>23023</v>
      </c>
      <c r="I26" s="17">
        <f t="shared" ref="I26:N26" si="13">+I24+I25</f>
        <v>26260</v>
      </c>
      <c r="J26" s="17">
        <f t="shared" si="13"/>
        <v>22000</v>
      </c>
      <c r="K26" s="17">
        <f t="shared" si="13"/>
        <v>26238</v>
      </c>
      <c r="L26" s="17">
        <f t="shared" si="13"/>
        <v>22000</v>
      </c>
      <c r="M26" s="17">
        <f t="shared" si="13"/>
        <v>26238</v>
      </c>
      <c r="N26" s="17">
        <f t="shared" si="13"/>
        <v>22000</v>
      </c>
    </row>
    <row r="27" spans="1:14" ht="18.75">
      <c r="A27" s="10">
        <v>16</v>
      </c>
      <c r="B27" s="10"/>
      <c r="C27" s="11"/>
      <c r="D27" s="12" t="s">
        <v>33</v>
      </c>
      <c r="E27" s="25">
        <v>800</v>
      </c>
      <c r="F27" s="25">
        <v>150</v>
      </c>
      <c r="G27" s="25">
        <v>3850</v>
      </c>
      <c r="H27" s="25">
        <v>750</v>
      </c>
      <c r="I27" s="25">
        <f>ROUND(E27/3*12,2)</f>
        <v>3200</v>
      </c>
      <c r="J27" s="25">
        <f>ROUND(F27/3*12,2)</f>
        <v>600</v>
      </c>
      <c r="K27" s="25">
        <v>3200</v>
      </c>
      <c r="L27" s="25">
        <v>600</v>
      </c>
      <c r="M27" s="25">
        <v>3200</v>
      </c>
      <c r="N27" s="25">
        <v>600</v>
      </c>
    </row>
    <row r="28" spans="1:14" ht="37.5">
      <c r="A28" s="10">
        <v>17</v>
      </c>
      <c r="B28" s="10"/>
      <c r="C28" s="11"/>
      <c r="D28" s="12" t="s">
        <v>34</v>
      </c>
      <c r="E28" s="25">
        <v>200</v>
      </c>
      <c r="F28" s="25"/>
      <c r="G28" s="25">
        <v>1100</v>
      </c>
      <c r="H28" s="25"/>
      <c r="I28" s="25">
        <f>ROUND(E28/3*12,2)</f>
        <v>800</v>
      </c>
      <c r="J28" s="25">
        <f>ROUND(F28/3*12,2)</f>
        <v>0</v>
      </c>
      <c r="K28" s="25">
        <v>800</v>
      </c>
      <c r="L28" s="25">
        <v>0</v>
      </c>
      <c r="M28" s="25">
        <v>800</v>
      </c>
      <c r="N28" s="25">
        <v>0</v>
      </c>
    </row>
    <row r="29" spans="1:14" ht="18.75">
      <c r="A29" s="14"/>
      <c r="B29" s="14" t="s">
        <v>35</v>
      </c>
      <c r="C29" s="15" t="s">
        <v>36</v>
      </c>
      <c r="D29" s="16" t="s">
        <v>33</v>
      </c>
      <c r="E29" s="17">
        <f t="shared" ref="E29:H29" si="14">+E27+E28</f>
        <v>1000</v>
      </c>
      <c r="F29" s="17">
        <f t="shared" si="14"/>
        <v>150</v>
      </c>
      <c r="G29" s="17">
        <f t="shared" si="14"/>
        <v>4950</v>
      </c>
      <c r="H29" s="17">
        <f t="shared" si="14"/>
        <v>750</v>
      </c>
      <c r="I29" s="17">
        <f t="shared" ref="I29:N29" si="15">+I27+I28</f>
        <v>4000</v>
      </c>
      <c r="J29" s="17">
        <f t="shared" si="15"/>
        <v>600</v>
      </c>
      <c r="K29" s="17">
        <f t="shared" si="15"/>
        <v>4000</v>
      </c>
      <c r="L29" s="17">
        <f t="shared" si="15"/>
        <v>600</v>
      </c>
      <c r="M29" s="17">
        <f t="shared" si="15"/>
        <v>4000</v>
      </c>
      <c r="N29" s="17">
        <f t="shared" si="15"/>
        <v>600</v>
      </c>
    </row>
    <row r="30" spans="1:14" ht="18.75">
      <c r="A30" s="10">
        <v>18</v>
      </c>
      <c r="B30" s="10"/>
      <c r="C30" s="11"/>
      <c r="D30" s="12" t="s">
        <v>37</v>
      </c>
      <c r="E30" s="25">
        <v>715</v>
      </c>
      <c r="F30" s="29">
        <f>177-50</f>
        <v>127</v>
      </c>
      <c r="G30" s="25">
        <v>3000</v>
      </c>
      <c r="H30" s="25">
        <v>450</v>
      </c>
      <c r="I30" s="25">
        <f t="shared" ref="I30:J32" si="16">ROUND(E30/3*12,2)</f>
        <v>2860</v>
      </c>
      <c r="J30" s="25">
        <f t="shared" si="16"/>
        <v>508</v>
      </c>
      <c r="K30" s="25">
        <f>IF(G30&lt;I30,G30,I30)</f>
        <v>2860</v>
      </c>
      <c r="L30" s="25">
        <f>IF(H30&lt;J30,H30,J30)</f>
        <v>450</v>
      </c>
      <c r="M30" s="25">
        <v>2860</v>
      </c>
      <c r="N30" s="25">
        <v>450</v>
      </c>
    </row>
    <row r="31" spans="1:14" ht="15.75">
      <c r="A31" s="10">
        <v>19</v>
      </c>
      <c r="B31" s="10"/>
      <c r="C31" s="11"/>
      <c r="D31" s="37" t="s">
        <v>389</v>
      </c>
      <c r="E31" s="25">
        <v>451.85</v>
      </c>
      <c r="F31" s="25">
        <v>0</v>
      </c>
      <c r="G31" s="25">
        <v>1807.39</v>
      </c>
      <c r="H31" s="25"/>
      <c r="I31" s="25">
        <f t="shared" si="16"/>
        <v>1807.4</v>
      </c>
      <c r="J31" s="25">
        <f t="shared" si="16"/>
        <v>0</v>
      </c>
      <c r="K31" s="25">
        <f>IF(G31&lt;I31,G31,I31)</f>
        <v>1807.39</v>
      </c>
      <c r="L31" s="25">
        <f>IF(H31&lt;J31,H31,J31)</f>
        <v>0</v>
      </c>
      <c r="M31" s="25">
        <v>1807.39</v>
      </c>
      <c r="N31" s="25">
        <v>0</v>
      </c>
    </row>
    <row r="32" spans="1:14" ht="31.5">
      <c r="A32" s="10">
        <v>20</v>
      </c>
      <c r="B32" s="10"/>
      <c r="C32" s="11"/>
      <c r="D32" s="37" t="s">
        <v>390</v>
      </c>
      <c r="E32" s="29">
        <f>634.63-150</f>
        <v>484.63</v>
      </c>
      <c r="F32" s="25">
        <v>0</v>
      </c>
      <c r="G32" s="25">
        <v>2538.5</v>
      </c>
      <c r="H32" s="25"/>
      <c r="I32" s="25">
        <f t="shared" si="16"/>
        <v>1938.52</v>
      </c>
      <c r="J32" s="25">
        <f t="shared" si="16"/>
        <v>0</v>
      </c>
      <c r="K32" s="25">
        <f>IF(G32&lt;I32,G32,I32)+0.85</f>
        <v>1939.37</v>
      </c>
      <c r="L32" s="25">
        <f>IF(H32&lt;J32,H32,J32)</f>
        <v>0</v>
      </c>
      <c r="M32" s="25">
        <v>1939.37</v>
      </c>
      <c r="N32" s="25">
        <v>0</v>
      </c>
    </row>
    <row r="33" spans="1:14" ht="18.75">
      <c r="A33" s="14"/>
      <c r="B33" s="14" t="s">
        <v>38</v>
      </c>
      <c r="C33" s="15" t="s">
        <v>36</v>
      </c>
      <c r="D33" s="16" t="s">
        <v>37</v>
      </c>
      <c r="E33" s="17">
        <f t="shared" ref="E33:N33" si="17">+E30+E31+E32</f>
        <v>1651.48</v>
      </c>
      <c r="F33" s="17">
        <f t="shared" si="17"/>
        <v>127</v>
      </c>
      <c r="G33" s="17">
        <f t="shared" si="17"/>
        <v>7345.89</v>
      </c>
      <c r="H33" s="17">
        <f t="shared" si="17"/>
        <v>450</v>
      </c>
      <c r="I33" s="17">
        <f t="shared" si="17"/>
        <v>6605.92</v>
      </c>
      <c r="J33" s="17">
        <f t="shared" si="17"/>
        <v>508</v>
      </c>
      <c r="K33" s="17">
        <f t="shared" si="17"/>
        <v>6606.76</v>
      </c>
      <c r="L33" s="17">
        <f t="shared" si="17"/>
        <v>450</v>
      </c>
      <c r="M33" s="17">
        <f t="shared" si="17"/>
        <v>6606.76</v>
      </c>
      <c r="N33" s="17">
        <f t="shared" si="17"/>
        <v>450</v>
      </c>
    </row>
    <row r="34" spans="1:14" ht="18.75">
      <c r="A34" s="10">
        <v>23</v>
      </c>
      <c r="B34" s="10"/>
      <c r="C34" s="11"/>
      <c r="D34" s="12" t="s">
        <v>39</v>
      </c>
      <c r="E34" s="29">
        <f>800-20</f>
        <v>780</v>
      </c>
      <c r="F34" s="29">
        <f>700-50-10</f>
        <v>640</v>
      </c>
      <c r="G34" s="25">
        <v>3646.76</v>
      </c>
      <c r="H34" s="25">
        <v>3000</v>
      </c>
      <c r="I34" s="25">
        <f>ROUND(E34/3*12,2)</f>
        <v>3120</v>
      </c>
      <c r="J34" s="25">
        <f>ROUND(F34/3*12,2)</f>
        <v>2560</v>
      </c>
      <c r="K34" s="25">
        <f>IF(G34&lt;I34,G34,I34)</f>
        <v>3120</v>
      </c>
      <c r="L34" s="25">
        <f>IF(H34&lt;J34,H34,J34)</f>
        <v>2560</v>
      </c>
      <c r="M34" s="25">
        <f>IF(I34&lt;K34,I34,K34)</f>
        <v>3120</v>
      </c>
      <c r="N34" s="25">
        <v>2700</v>
      </c>
    </row>
    <row r="35" spans="1:14" ht="18.75">
      <c r="A35" s="10">
        <v>24</v>
      </c>
      <c r="B35" s="10"/>
      <c r="C35" s="11"/>
      <c r="D35" s="12" t="s">
        <v>40</v>
      </c>
      <c r="E35" s="25">
        <v>189</v>
      </c>
      <c r="F35" s="25">
        <v>0</v>
      </c>
      <c r="G35" s="25">
        <v>1682.74</v>
      </c>
      <c r="H35" s="25"/>
      <c r="I35" s="25">
        <f>ROUND(E35/3*12,2)</f>
        <v>756</v>
      </c>
      <c r="J35" s="25">
        <f>ROUND(F35/3*12,2)</f>
        <v>0</v>
      </c>
      <c r="K35" s="25">
        <f>IF(G35&lt;I35,G35,I35)</f>
        <v>756</v>
      </c>
      <c r="L35" s="25">
        <f>IF(H35&lt;J35,H35,J35)</f>
        <v>0</v>
      </c>
      <c r="M35" s="25">
        <v>770</v>
      </c>
      <c r="N35" s="25">
        <v>0</v>
      </c>
    </row>
    <row r="36" spans="1:14" ht="18.75">
      <c r="A36" s="14"/>
      <c r="B36" s="14" t="s">
        <v>41</v>
      </c>
      <c r="C36" s="15" t="s">
        <v>36</v>
      </c>
      <c r="D36" s="16" t="s">
        <v>39</v>
      </c>
      <c r="E36" s="17">
        <f t="shared" ref="E36:H36" si="18">+E34+E35</f>
        <v>969</v>
      </c>
      <c r="F36" s="17">
        <f t="shared" si="18"/>
        <v>640</v>
      </c>
      <c r="G36" s="17">
        <f t="shared" si="18"/>
        <v>5329.5</v>
      </c>
      <c r="H36" s="17">
        <f t="shared" si="18"/>
        <v>3000</v>
      </c>
      <c r="I36" s="17">
        <f t="shared" ref="I36:N36" si="19">+I34+I35</f>
        <v>3876</v>
      </c>
      <c r="J36" s="17">
        <f t="shared" si="19"/>
        <v>2560</v>
      </c>
      <c r="K36" s="17">
        <f t="shared" si="19"/>
        <v>3876</v>
      </c>
      <c r="L36" s="17">
        <f t="shared" si="19"/>
        <v>2560</v>
      </c>
      <c r="M36" s="17">
        <f t="shared" si="19"/>
        <v>3890</v>
      </c>
      <c r="N36" s="17">
        <f t="shared" si="19"/>
        <v>2700</v>
      </c>
    </row>
    <row r="37" spans="1:14" ht="18.75">
      <c r="A37" s="10">
        <v>25</v>
      </c>
      <c r="B37" s="10"/>
      <c r="C37" s="11"/>
      <c r="D37" s="12" t="s">
        <v>42</v>
      </c>
      <c r="E37" s="25">
        <v>120</v>
      </c>
      <c r="F37" s="25">
        <v>3.45</v>
      </c>
      <c r="G37" s="25">
        <v>520</v>
      </c>
      <c r="H37" s="25">
        <f>3+3.45</f>
        <v>6.45</v>
      </c>
      <c r="I37" s="25">
        <f>ROUND(E37/3*12,2)</f>
        <v>480</v>
      </c>
      <c r="J37" s="25">
        <f>ROUND(F37/3*12,2)</f>
        <v>13.8</v>
      </c>
      <c r="K37" s="25">
        <f>IF(G37&lt;I37,G37,I37)</f>
        <v>480</v>
      </c>
      <c r="L37" s="25">
        <f>IF(H37&lt;J37,H37,J37)</f>
        <v>6.45</v>
      </c>
      <c r="M37" s="25">
        <v>480</v>
      </c>
      <c r="N37" s="25">
        <v>6.45</v>
      </c>
    </row>
    <row r="38" spans="1:14" ht="18.75">
      <c r="A38" s="10">
        <v>26</v>
      </c>
      <c r="B38" s="10"/>
      <c r="C38" s="11"/>
      <c r="D38" s="12" t="s">
        <v>43</v>
      </c>
      <c r="E38" s="25">
        <v>0</v>
      </c>
      <c r="F38" s="25">
        <v>0</v>
      </c>
      <c r="G38" s="25">
        <v>0</v>
      </c>
      <c r="H38" s="25">
        <v>0</v>
      </c>
      <c r="I38" s="25">
        <f>ROUND(E38/3*12,2)</f>
        <v>0</v>
      </c>
      <c r="J38" s="25">
        <f>ROUND(F38/3*12,2)</f>
        <v>0</v>
      </c>
      <c r="K38" s="25">
        <f>IF(G38&lt;I38,G38,I38)</f>
        <v>0</v>
      </c>
      <c r="L38" s="25">
        <f>IF(H38&lt;J38,H38,J38)</f>
        <v>0</v>
      </c>
      <c r="M38" s="25">
        <v>0</v>
      </c>
      <c r="N38" s="25">
        <v>0</v>
      </c>
    </row>
    <row r="39" spans="1:14" ht="18.75">
      <c r="A39" s="14"/>
      <c r="B39" s="14" t="s">
        <v>44</v>
      </c>
      <c r="C39" s="15" t="s">
        <v>36</v>
      </c>
      <c r="D39" s="16" t="s">
        <v>42</v>
      </c>
      <c r="E39" s="17">
        <f t="shared" ref="E39:H39" si="20">+E37+E38</f>
        <v>120</v>
      </c>
      <c r="F39" s="17">
        <f t="shared" si="20"/>
        <v>3.45</v>
      </c>
      <c r="G39" s="17">
        <f t="shared" si="20"/>
        <v>520</v>
      </c>
      <c r="H39" s="17">
        <f t="shared" si="20"/>
        <v>6.45</v>
      </c>
      <c r="I39" s="17">
        <f t="shared" ref="I39:N39" si="21">+I37+I38</f>
        <v>480</v>
      </c>
      <c r="J39" s="17">
        <f t="shared" si="21"/>
        <v>13.8</v>
      </c>
      <c r="K39" s="17">
        <f t="shared" si="21"/>
        <v>480</v>
      </c>
      <c r="L39" s="17">
        <f t="shared" si="21"/>
        <v>6.45</v>
      </c>
      <c r="M39" s="17">
        <f t="shared" si="21"/>
        <v>480</v>
      </c>
      <c r="N39" s="17">
        <f t="shared" si="21"/>
        <v>6.45</v>
      </c>
    </row>
    <row r="40" spans="1:14" ht="18.75">
      <c r="A40" s="10">
        <v>27</v>
      </c>
      <c r="B40" s="10"/>
      <c r="C40" s="11"/>
      <c r="D40" s="12" t="s">
        <v>45</v>
      </c>
      <c r="E40" s="25">
        <v>1250</v>
      </c>
      <c r="F40" s="25">
        <v>1200</v>
      </c>
      <c r="G40" s="25">
        <v>5300</v>
      </c>
      <c r="H40" s="25">
        <v>4900</v>
      </c>
      <c r="I40" s="25">
        <f t="shared" ref="I40:J42" si="22">ROUND(E40/3*12,2)</f>
        <v>5000</v>
      </c>
      <c r="J40" s="25">
        <f t="shared" si="22"/>
        <v>4800</v>
      </c>
      <c r="K40" s="25">
        <f t="shared" ref="K40:L42" si="23">IF(G40&lt;I40,G40,I40)</f>
        <v>5000</v>
      </c>
      <c r="L40" s="25">
        <f t="shared" si="23"/>
        <v>4800</v>
      </c>
      <c r="M40" s="25">
        <v>5000</v>
      </c>
      <c r="N40" s="25">
        <v>4800</v>
      </c>
    </row>
    <row r="41" spans="1:14" ht="18.75">
      <c r="A41" s="10">
        <v>28</v>
      </c>
      <c r="B41" s="10"/>
      <c r="C41" s="11"/>
      <c r="D41" s="12" t="s">
        <v>46</v>
      </c>
      <c r="E41" s="29">
        <f>90-25</f>
        <v>65</v>
      </c>
      <c r="F41" s="25">
        <v>0</v>
      </c>
      <c r="G41" s="25">
        <v>363</v>
      </c>
      <c r="H41" s="25"/>
      <c r="I41" s="25">
        <f t="shared" si="22"/>
        <v>260</v>
      </c>
      <c r="J41" s="25">
        <f t="shared" si="22"/>
        <v>0</v>
      </c>
      <c r="K41" s="25">
        <f t="shared" si="23"/>
        <v>260</v>
      </c>
      <c r="L41" s="25">
        <f t="shared" si="23"/>
        <v>0</v>
      </c>
      <c r="M41" s="25">
        <v>260</v>
      </c>
      <c r="N41" s="25">
        <v>0</v>
      </c>
    </row>
    <row r="42" spans="1:14" ht="18.75">
      <c r="A42" s="10">
        <v>29</v>
      </c>
      <c r="B42" s="10"/>
      <c r="C42" s="11"/>
      <c r="D42" s="12" t="s">
        <v>47</v>
      </c>
      <c r="E42" s="25">
        <v>0</v>
      </c>
      <c r="F42" s="25">
        <v>0</v>
      </c>
      <c r="G42" s="25">
        <v>0</v>
      </c>
      <c r="H42" s="25">
        <v>0</v>
      </c>
      <c r="I42" s="25">
        <f t="shared" si="22"/>
        <v>0</v>
      </c>
      <c r="J42" s="25">
        <f t="shared" si="22"/>
        <v>0</v>
      </c>
      <c r="K42" s="25">
        <f t="shared" si="23"/>
        <v>0</v>
      </c>
      <c r="L42" s="25">
        <f t="shared" si="23"/>
        <v>0</v>
      </c>
      <c r="M42" s="25">
        <v>0</v>
      </c>
      <c r="N42" s="25">
        <v>0</v>
      </c>
    </row>
    <row r="43" spans="1:14" ht="18.75">
      <c r="A43" s="14"/>
      <c r="B43" s="14" t="s">
        <v>48</v>
      </c>
      <c r="C43" s="15" t="s">
        <v>32</v>
      </c>
      <c r="D43" s="16" t="s">
        <v>45</v>
      </c>
      <c r="E43" s="17">
        <f t="shared" ref="E43:N43" si="24">+E40+E41+E42</f>
        <v>1315</v>
      </c>
      <c r="F43" s="17">
        <f t="shared" si="24"/>
        <v>1200</v>
      </c>
      <c r="G43" s="17">
        <f t="shared" si="24"/>
        <v>5663</v>
      </c>
      <c r="H43" s="17">
        <f t="shared" si="24"/>
        <v>4900</v>
      </c>
      <c r="I43" s="17">
        <f t="shared" si="24"/>
        <v>5260</v>
      </c>
      <c r="J43" s="17">
        <f t="shared" si="24"/>
        <v>4800</v>
      </c>
      <c r="K43" s="17">
        <f t="shared" si="24"/>
        <v>5260</v>
      </c>
      <c r="L43" s="17">
        <f t="shared" si="24"/>
        <v>4800</v>
      </c>
      <c r="M43" s="17">
        <f t="shared" si="24"/>
        <v>5260</v>
      </c>
      <c r="N43" s="17">
        <f t="shared" si="24"/>
        <v>4800</v>
      </c>
    </row>
    <row r="44" spans="1:14" ht="18.75">
      <c r="A44" s="14">
        <v>30</v>
      </c>
      <c r="B44" s="14" t="s">
        <v>49</v>
      </c>
      <c r="C44" s="15" t="s">
        <v>50</v>
      </c>
      <c r="D44" s="16" t="s">
        <v>51</v>
      </c>
      <c r="E44" s="25">
        <v>825</v>
      </c>
      <c r="F44" s="29">
        <f>200-70</f>
        <v>130</v>
      </c>
      <c r="G44" s="25">
        <v>3664</v>
      </c>
      <c r="H44" s="25">
        <v>415</v>
      </c>
      <c r="I44" s="25">
        <f t="shared" ref="I44:J48" si="25">ROUND(E44/3*12,2)</f>
        <v>3300</v>
      </c>
      <c r="J44" s="25">
        <f t="shared" si="25"/>
        <v>520</v>
      </c>
      <c r="K44" s="25">
        <f t="shared" ref="K44:L48" si="26">IF(G44&lt;I44,G44,I44)</f>
        <v>3300</v>
      </c>
      <c r="L44" s="25">
        <f t="shared" si="26"/>
        <v>415</v>
      </c>
      <c r="M44" s="25">
        <v>3500</v>
      </c>
      <c r="N44" s="25">
        <v>500</v>
      </c>
    </row>
    <row r="45" spans="1:14" ht="18.75">
      <c r="A45" s="14">
        <v>31</v>
      </c>
      <c r="B45" s="14" t="s">
        <v>52</v>
      </c>
      <c r="C45" s="15" t="s">
        <v>53</v>
      </c>
      <c r="D45" s="16" t="s">
        <v>54</v>
      </c>
      <c r="E45" s="25">
        <v>330.75</v>
      </c>
      <c r="F45" s="29">
        <f>76-15</f>
        <v>61</v>
      </c>
      <c r="G45" s="25">
        <v>1450</v>
      </c>
      <c r="H45" s="25">
        <v>100</v>
      </c>
      <c r="I45" s="25">
        <f t="shared" si="25"/>
        <v>1323</v>
      </c>
      <c r="J45" s="25">
        <f t="shared" si="25"/>
        <v>244</v>
      </c>
      <c r="K45" s="25">
        <f t="shared" si="26"/>
        <v>1323</v>
      </c>
      <c r="L45" s="25">
        <f t="shared" si="26"/>
        <v>100</v>
      </c>
      <c r="M45" s="25">
        <f>IF(I45&lt;K45,I45,K45)</f>
        <v>1323</v>
      </c>
      <c r="N45" s="25">
        <v>100</v>
      </c>
    </row>
    <row r="46" spans="1:14" ht="18.75">
      <c r="A46" s="10">
        <v>32</v>
      </c>
      <c r="B46" s="10"/>
      <c r="C46" s="11"/>
      <c r="D46" s="12" t="s">
        <v>55</v>
      </c>
      <c r="E46" s="29">
        <f>280-10</f>
        <v>270</v>
      </c>
      <c r="F46" s="29">
        <f>120-50-20</f>
        <v>50</v>
      </c>
      <c r="G46" s="25">
        <v>955.75</v>
      </c>
      <c r="H46" s="25">
        <v>200</v>
      </c>
      <c r="I46" s="25">
        <f t="shared" si="25"/>
        <v>1080</v>
      </c>
      <c r="J46" s="25">
        <f t="shared" si="25"/>
        <v>200</v>
      </c>
      <c r="K46" s="25">
        <f t="shared" si="26"/>
        <v>955.75</v>
      </c>
      <c r="L46" s="25">
        <f t="shared" si="26"/>
        <v>200</v>
      </c>
      <c r="M46" s="25">
        <f>IF(I46&lt;K46,I46,K46)</f>
        <v>955.75</v>
      </c>
      <c r="N46" s="25">
        <v>300</v>
      </c>
    </row>
    <row r="47" spans="1:14" ht="31.5">
      <c r="A47" s="10">
        <v>33</v>
      </c>
      <c r="B47" s="10"/>
      <c r="C47" s="11"/>
      <c r="D47" s="37" t="s">
        <v>391</v>
      </c>
      <c r="E47" s="25">
        <v>200</v>
      </c>
      <c r="F47" s="25">
        <v>0</v>
      </c>
      <c r="G47" s="25">
        <v>1068</v>
      </c>
      <c r="H47" s="25"/>
      <c r="I47" s="25">
        <f t="shared" si="25"/>
        <v>800</v>
      </c>
      <c r="J47" s="25">
        <f t="shared" si="25"/>
        <v>0</v>
      </c>
      <c r="K47" s="25">
        <f t="shared" si="26"/>
        <v>800</v>
      </c>
      <c r="L47" s="25">
        <f t="shared" si="26"/>
        <v>0</v>
      </c>
      <c r="M47" s="25">
        <f>IF(I47&lt;K47,I47,K47)</f>
        <v>800</v>
      </c>
      <c r="N47" s="25">
        <v>0</v>
      </c>
    </row>
    <row r="48" spans="1:14" ht="31.5">
      <c r="A48" s="10">
        <v>34</v>
      </c>
      <c r="B48" s="10"/>
      <c r="C48" s="11"/>
      <c r="D48" s="37" t="s">
        <v>392</v>
      </c>
      <c r="E48" s="25">
        <v>0</v>
      </c>
      <c r="F48" s="25">
        <v>0</v>
      </c>
      <c r="G48" s="25"/>
      <c r="H48" s="25"/>
      <c r="I48" s="25">
        <f t="shared" si="25"/>
        <v>0</v>
      </c>
      <c r="J48" s="25">
        <f t="shared" si="25"/>
        <v>0</v>
      </c>
      <c r="K48" s="25">
        <f t="shared" si="26"/>
        <v>0</v>
      </c>
      <c r="L48" s="25">
        <f t="shared" si="26"/>
        <v>0</v>
      </c>
      <c r="M48" s="25">
        <f>IF(I48&lt;K48,I48,K48)</f>
        <v>0</v>
      </c>
      <c r="N48" s="25">
        <v>0</v>
      </c>
    </row>
    <row r="49" spans="1:14" ht="18.75">
      <c r="A49" s="14"/>
      <c r="B49" s="14" t="s">
        <v>56</v>
      </c>
      <c r="C49" s="15" t="s">
        <v>32</v>
      </c>
      <c r="D49" s="16" t="s">
        <v>55</v>
      </c>
      <c r="E49" s="17">
        <f t="shared" ref="E49:H49" si="27">+E46+E47+E48</f>
        <v>470</v>
      </c>
      <c r="F49" s="17">
        <f t="shared" si="27"/>
        <v>50</v>
      </c>
      <c r="G49" s="17">
        <f t="shared" si="27"/>
        <v>2023.75</v>
      </c>
      <c r="H49" s="17">
        <f t="shared" si="27"/>
        <v>200</v>
      </c>
      <c r="I49" s="17">
        <f t="shared" ref="I49:N49" si="28">+I46+I47+I48</f>
        <v>1880</v>
      </c>
      <c r="J49" s="17">
        <f t="shared" si="28"/>
        <v>200</v>
      </c>
      <c r="K49" s="17">
        <f t="shared" si="28"/>
        <v>1755.75</v>
      </c>
      <c r="L49" s="17">
        <f t="shared" si="28"/>
        <v>200</v>
      </c>
      <c r="M49" s="17">
        <f t="shared" si="28"/>
        <v>1755.75</v>
      </c>
      <c r="N49" s="17">
        <f t="shared" si="28"/>
        <v>300</v>
      </c>
    </row>
    <row r="50" spans="1:14" ht="18.75">
      <c r="A50" s="10">
        <v>35</v>
      </c>
      <c r="B50" s="10"/>
      <c r="C50" s="11"/>
      <c r="D50" s="12" t="s">
        <v>57</v>
      </c>
      <c r="E50" s="25">
        <v>175</v>
      </c>
      <c r="F50" s="29">
        <f>83.32-20</f>
        <v>63.319999999999993</v>
      </c>
      <c r="G50" s="25">
        <v>741</v>
      </c>
      <c r="H50" s="25">
        <v>150</v>
      </c>
      <c r="I50" s="25">
        <f>ROUND(E50/3*12,2)</f>
        <v>700</v>
      </c>
      <c r="J50" s="25">
        <f>ROUND(F50/3*12,2)</f>
        <v>253.28</v>
      </c>
      <c r="K50" s="25">
        <f>IF(G50&lt;I50,G50,I50)</f>
        <v>700</v>
      </c>
      <c r="L50" s="25">
        <f>IF(H50&lt;J50,H50,J50)</f>
        <v>150</v>
      </c>
      <c r="M50" s="25">
        <v>745</v>
      </c>
      <c r="N50" s="25">
        <v>152</v>
      </c>
    </row>
    <row r="51" spans="1:14" ht="18.75">
      <c r="A51" s="10">
        <v>36</v>
      </c>
      <c r="B51" s="10"/>
      <c r="C51" s="11"/>
      <c r="D51" s="12" t="s">
        <v>58</v>
      </c>
      <c r="E51" s="29">
        <f>210-50</f>
        <v>160</v>
      </c>
      <c r="F51" s="25"/>
      <c r="G51" s="25">
        <v>950</v>
      </c>
      <c r="H51" s="25"/>
      <c r="I51" s="25">
        <f>ROUND(E51/3*12,2)</f>
        <v>640</v>
      </c>
      <c r="J51" s="25">
        <f>ROUND(F51/3*12,2)</f>
        <v>0</v>
      </c>
      <c r="K51" s="25">
        <f>IF(G51&lt;I51,G51,I51)</f>
        <v>640</v>
      </c>
      <c r="L51" s="25">
        <f>IF(H51&lt;J51,H51,J51)</f>
        <v>0</v>
      </c>
      <c r="M51" s="25">
        <v>950</v>
      </c>
      <c r="N51" s="25">
        <v>0</v>
      </c>
    </row>
    <row r="52" spans="1:14" ht="18.75">
      <c r="A52" s="14"/>
      <c r="B52" s="14" t="s">
        <v>59</v>
      </c>
      <c r="C52" s="15" t="s">
        <v>60</v>
      </c>
      <c r="D52" s="16" t="s">
        <v>57</v>
      </c>
      <c r="E52" s="17">
        <f t="shared" ref="E52:H52" si="29">+E50+E51</f>
        <v>335</v>
      </c>
      <c r="F52" s="17">
        <f t="shared" si="29"/>
        <v>63.319999999999993</v>
      </c>
      <c r="G52" s="17">
        <f t="shared" si="29"/>
        <v>1691</v>
      </c>
      <c r="H52" s="17">
        <f t="shared" si="29"/>
        <v>150</v>
      </c>
      <c r="I52" s="17">
        <f t="shared" ref="I52:N52" si="30">+I50+I51</f>
        <v>1340</v>
      </c>
      <c r="J52" s="17">
        <f t="shared" si="30"/>
        <v>253.28</v>
      </c>
      <c r="K52" s="17">
        <f t="shared" si="30"/>
        <v>1340</v>
      </c>
      <c r="L52" s="17">
        <f t="shared" si="30"/>
        <v>150</v>
      </c>
      <c r="M52" s="17">
        <f t="shared" si="30"/>
        <v>1695</v>
      </c>
      <c r="N52" s="17">
        <f t="shared" si="30"/>
        <v>152</v>
      </c>
    </row>
    <row r="53" spans="1:14" ht="15.75">
      <c r="A53" s="10">
        <v>37</v>
      </c>
      <c r="B53" s="10"/>
      <c r="C53" s="11"/>
      <c r="D53" s="38" t="s">
        <v>393</v>
      </c>
      <c r="E53" s="25">
        <v>315</v>
      </c>
      <c r="F53" s="25">
        <v>0</v>
      </c>
      <c r="G53" s="25">
        <v>1339</v>
      </c>
      <c r="H53" s="29">
        <v>105</v>
      </c>
      <c r="I53" s="25">
        <f t="shared" ref="I53:J55" si="31">ROUND(E53/3*12,2)</f>
        <v>1260</v>
      </c>
      <c r="J53" s="25">
        <f t="shared" si="31"/>
        <v>0</v>
      </c>
      <c r="K53" s="25">
        <f>IF(G53&lt;I53,G53,I53)</f>
        <v>1260</v>
      </c>
      <c r="L53" s="25">
        <f>IF(H53&lt;J53,H53,J53)+105</f>
        <v>105</v>
      </c>
      <c r="M53" s="25">
        <f>IF(I53&lt;K53,I53,K53)</f>
        <v>1260</v>
      </c>
      <c r="N53" s="25">
        <f>IF(J53&lt;L53,J53,L53)+105</f>
        <v>105</v>
      </c>
    </row>
    <row r="54" spans="1:14" ht="31.5">
      <c r="A54" s="10">
        <v>38</v>
      </c>
      <c r="B54" s="10"/>
      <c r="C54" s="11"/>
      <c r="D54" s="37" t="s">
        <v>394</v>
      </c>
      <c r="E54" s="25">
        <v>0</v>
      </c>
      <c r="F54" s="25">
        <v>0</v>
      </c>
      <c r="G54" s="25">
        <v>0</v>
      </c>
      <c r="H54" s="25">
        <v>0</v>
      </c>
      <c r="I54" s="25">
        <f t="shared" si="31"/>
        <v>0</v>
      </c>
      <c r="J54" s="25">
        <f t="shared" si="31"/>
        <v>0</v>
      </c>
      <c r="K54" s="25">
        <f>IF(G54&lt;I54,G54,I54)</f>
        <v>0</v>
      </c>
      <c r="L54" s="25">
        <f>IF(H54&lt;J54,H54,J54)</f>
        <v>0</v>
      </c>
      <c r="M54" s="25">
        <f>IF(I54&lt;K54,I54,K54)</f>
        <v>0</v>
      </c>
      <c r="N54" s="25">
        <f>IF(J54&lt;L54,J54,L54)</f>
        <v>0</v>
      </c>
    </row>
    <row r="55" spans="1:14" ht="15.75">
      <c r="A55" s="10"/>
      <c r="B55" s="10"/>
      <c r="C55" s="11"/>
      <c r="D55" s="37" t="s">
        <v>395</v>
      </c>
      <c r="E55" s="25">
        <v>0</v>
      </c>
      <c r="F55" s="25">
        <v>0</v>
      </c>
      <c r="G55" s="25"/>
      <c r="H55" s="25"/>
      <c r="I55" s="25">
        <f t="shared" si="31"/>
        <v>0</v>
      </c>
      <c r="J55" s="25">
        <f t="shared" si="31"/>
        <v>0</v>
      </c>
      <c r="K55" s="25">
        <f>IF(G55&lt;I55,G55,I55)</f>
        <v>0</v>
      </c>
      <c r="L55" s="25">
        <f>IF(H55&lt;J55,H55,J55)</f>
        <v>0</v>
      </c>
      <c r="M55" s="25">
        <f>IF(I55&lt;K55,I55,K55)</f>
        <v>0</v>
      </c>
      <c r="N55" s="25">
        <f>IF(J55&lt;L55,J55,L55)</f>
        <v>0</v>
      </c>
    </row>
    <row r="56" spans="1:14" ht="18.75">
      <c r="A56" s="14"/>
      <c r="B56" s="14" t="s">
        <v>62</v>
      </c>
      <c r="C56" s="15" t="s">
        <v>32</v>
      </c>
      <c r="D56" s="16" t="s">
        <v>61</v>
      </c>
      <c r="E56" s="17">
        <f t="shared" ref="E56:N56" si="32">+E53+E54+E55</f>
        <v>315</v>
      </c>
      <c r="F56" s="17">
        <f t="shared" si="32"/>
        <v>0</v>
      </c>
      <c r="G56" s="17">
        <f t="shared" si="32"/>
        <v>1339</v>
      </c>
      <c r="H56" s="17">
        <f t="shared" si="32"/>
        <v>105</v>
      </c>
      <c r="I56" s="17">
        <f t="shared" si="32"/>
        <v>1260</v>
      </c>
      <c r="J56" s="17">
        <f t="shared" si="32"/>
        <v>0</v>
      </c>
      <c r="K56" s="17">
        <f t="shared" si="32"/>
        <v>1260</v>
      </c>
      <c r="L56" s="17">
        <f t="shared" si="32"/>
        <v>105</v>
      </c>
      <c r="M56" s="17">
        <f t="shared" si="32"/>
        <v>1260</v>
      </c>
      <c r="N56" s="17">
        <f t="shared" si="32"/>
        <v>105</v>
      </c>
    </row>
    <row r="57" spans="1:14" ht="18.75">
      <c r="A57" s="10">
        <v>39</v>
      </c>
      <c r="B57" s="10"/>
      <c r="C57" s="11"/>
      <c r="D57" s="12" t="s">
        <v>63</v>
      </c>
      <c r="E57" s="25">
        <v>220</v>
      </c>
      <c r="F57" s="25">
        <v>0</v>
      </c>
      <c r="G57" s="25">
        <v>885</v>
      </c>
      <c r="H57" s="29">
        <v>45</v>
      </c>
      <c r="I57" s="25">
        <f>ROUND(E57/3*12,2)</f>
        <v>880</v>
      </c>
      <c r="J57" s="25">
        <f>ROUND(F57/3*12,2)</f>
        <v>0</v>
      </c>
      <c r="K57" s="25">
        <f>IF(G57&lt;I57,G57,I57)</f>
        <v>880</v>
      </c>
      <c r="L57" s="25">
        <f>IF(H57&lt;J57,H57,J57)+45</f>
        <v>45</v>
      </c>
      <c r="M57" s="25">
        <f>IF(I57&lt;K57,I57,K57)</f>
        <v>880</v>
      </c>
      <c r="N57" s="25">
        <v>1</v>
      </c>
    </row>
    <row r="58" spans="1:14" ht="18.75">
      <c r="A58" s="10">
        <v>40</v>
      </c>
      <c r="B58" s="10"/>
      <c r="C58" s="11"/>
      <c r="D58" s="12" t="s">
        <v>64</v>
      </c>
      <c r="E58" s="25">
        <v>300</v>
      </c>
      <c r="F58" s="25">
        <v>0</v>
      </c>
      <c r="G58" s="25">
        <v>1200</v>
      </c>
      <c r="H58" s="25"/>
      <c r="I58" s="25">
        <f>ROUND(E58/3*12,2)</f>
        <v>1200</v>
      </c>
      <c r="J58" s="25">
        <f>ROUND(F58/3*12,2)</f>
        <v>0</v>
      </c>
      <c r="K58" s="25">
        <f>IF(G58&lt;I58,G58,I58)</f>
        <v>1200</v>
      </c>
      <c r="L58" s="25">
        <f>IF(H58&lt;J58,H58,J58)</f>
        <v>0</v>
      </c>
      <c r="M58" s="25">
        <f>IF(I58&lt;K58,I58,K58)</f>
        <v>1200</v>
      </c>
      <c r="N58" s="25">
        <v>0</v>
      </c>
    </row>
    <row r="59" spans="1:14" ht="18.75">
      <c r="A59" s="14"/>
      <c r="B59" s="14" t="s">
        <v>65</v>
      </c>
      <c r="C59" s="15" t="s">
        <v>66</v>
      </c>
      <c r="D59" s="16" t="s">
        <v>63</v>
      </c>
      <c r="E59" s="17">
        <f t="shared" ref="E59:H59" si="33">+E57+E58</f>
        <v>520</v>
      </c>
      <c r="F59" s="17">
        <f t="shared" si="33"/>
        <v>0</v>
      </c>
      <c r="G59" s="17">
        <f t="shared" si="33"/>
        <v>2085</v>
      </c>
      <c r="H59" s="17">
        <f t="shared" si="33"/>
        <v>45</v>
      </c>
      <c r="I59" s="17">
        <f t="shared" ref="I59:N59" si="34">+I57+I58</f>
        <v>2080</v>
      </c>
      <c r="J59" s="17">
        <f t="shared" si="34"/>
        <v>0</v>
      </c>
      <c r="K59" s="17">
        <f t="shared" si="34"/>
        <v>2080</v>
      </c>
      <c r="L59" s="17">
        <f t="shared" si="34"/>
        <v>45</v>
      </c>
      <c r="M59" s="17">
        <f t="shared" si="34"/>
        <v>2080</v>
      </c>
      <c r="N59" s="17">
        <f t="shared" si="34"/>
        <v>1</v>
      </c>
    </row>
    <row r="60" spans="1:14" ht="18.75">
      <c r="A60" s="10">
        <v>41</v>
      </c>
      <c r="B60" s="10"/>
      <c r="C60" s="11"/>
      <c r="D60" s="12" t="s">
        <v>67</v>
      </c>
      <c r="E60" s="29">
        <f>610-100-25</f>
        <v>485</v>
      </c>
      <c r="F60" s="29">
        <f>150-50-5</f>
        <v>95</v>
      </c>
      <c r="G60" s="25">
        <v>1750</v>
      </c>
      <c r="H60" s="25">
        <f>120+8</f>
        <v>128</v>
      </c>
      <c r="I60" s="25">
        <f>ROUND(E60/3*12,2)</f>
        <v>1940</v>
      </c>
      <c r="J60" s="25">
        <f>ROUND(F60/3*12,2)</f>
        <v>380</v>
      </c>
      <c r="K60" s="25">
        <f>IF(G60&lt;I60,G60,I60)</f>
        <v>1750</v>
      </c>
      <c r="L60" s="25">
        <f>IF(H60&lt;J60,H60,J60)+2</f>
        <v>130</v>
      </c>
      <c r="M60" s="25">
        <f>IF(I60&lt;K60,I60,K60)</f>
        <v>1750</v>
      </c>
      <c r="N60" s="25">
        <v>130</v>
      </c>
    </row>
    <row r="61" spans="1:14" ht="15.75">
      <c r="A61" s="10">
        <v>42</v>
      </c>
      <c r="B61" s="10"/>
      <c r="C61" s="11"/>
      <c r="D61" s="37" t="s">
        <v>396</v>
      </c>
      <c r="E61" s="25">
        <f>150+205+215</f>
        <v>570</v>
      </c>
      <c r="F61" s="25"/>
      <c r="G61" s="29">
        <v>2000</v>
      </c>
      <c r="H61" s="25"/>
      <c r="I61" s="25">
        <f>ROUND(E61/3*12,2)</f>
        <v>2280</v>
      </c>
      <c r="J61" s="25">
        <f>ROUND(F61/3*12,2)</f>
        <v>0</v>
      </c>
      <c r="K61" s="25">
        <f>IF(G61&lt;I61,G61,I61)</f>
        <v>2000</v>
      </c>
      <c r="L61" s="25">
        <f>IF(H61&lt;J61,H61,J61)</f>
        <v>0</v>
      </c>
      <c r="M61" s="25">
        <f>IF(I61&lt;K61,I61,K61)+584</f>
        <v>2584</v>
      </c>
      <c r="N61" s="25">
        <v>0</v>
      </c>
    </row>
    <row r="62" spans="1:14" ht="18.75">
      <c r="A62" s="14"/>
      <c r="B62" s="14" t="s">
        <v>68</v>
      </c>
      <c r="C62" s="15" t="s">
        <v>69</v>
      </c>
      <c r="D62" s="16" t="s">
        <v>67</v>
      </c>
      <c r="E62" s="17">
        <f t="shared" ref="E62:N62" si="35">+E60+E61</f>
        <v>1055</v>
      </c>
      <c r="F62" s="17">
        <f t="shared" si="35"/>
        <v>95</v>
      </c>
      <c r="G62" s="17">
        <f t="shared" si="35"/>
        <v>3750</v>
      </c>
      <c r="H62" s="17">
        <f t="shared" si="35"/>
        <v>128</v>
      </c>
      <c r="I62" s="17">
        <f t="shared" si="35"/>
        <v>4220</v>
      </c>
      <c r="J62" s="17">
        <f t="shared" si="35"/>
        <v>380</v>
      </c>
      <c r="K62" s="17">
        <f t="shared" si="35"/>
        <v>3750</v>
      </c>
      <c r="L62" s="17">
        <f t="shared" si="35"/>
        <v>130</v>
      </c>
      <c r="M62" s="17">
        <f t="shared" si="35"/>
        <v>4334</v>
      </c>
      <c r="N62" s="17">
        <f t="shared" si="35"/>
        <v>130</v>
      </c>
    </row>
    <row r="63" spans="1:14" ht="18.75">
      <c r="A63" s="10">
        <v>45</v>
      </c>
      <c r="B63" s="10"/>
      <c r="C63" s="11"/>
      <c r="D63" s="12" t="s">
        <v>70</v>
      </c>
      <c r="E63" s="25">
        <v>300</v>
      </c>
      <c r="F63" s="29">
        <f>60-20</f>
        <v>40</v>
      </c>
      <c r="G63" s="25">
        <v>1320</v>
      </c>
      <c r="H63" s="25">
        <v>182</v>
      </c>
      <c r="I63" s="25">
        <f>ROUND(E63/3*12,2)</f>
        <v>1200</v>
      </c>
      <c r="J63" s="25">
        <f>ROUND(F63/3*12,2)</f>
        <v>160</v>
      </c>
      <c r="K63" s="25">
        <f t="shared" ref="K63:N64" si="36">IF(G63&lt;I63,G63,I63)</f>
        <v>1200</v>
      </c>
      <c r="L63" s="25">
        <f t="shared" si="36"/>
        <v>160</v>
      </c>
      <c r="M63" s="25">
        <f t="shared" si="36"/>
        <v>1200</v>
      </c>
      <c r="N63" s="25">
        <f t="shared" si="36"/>
        <v>160</v>
      </c>
    </row>
    <row r="64" spans="1:14" ht="18.75">
      <c r="A64" s="10">
        <v>46</v>
      </c>
      <c r="B64" s="10"/>
      <c r="C64" s="11"/>
      <c r="D64" s="12" t="s">
        <v>71</v>
      </c>
      <c r="E64" s="29">
        <f>300-10</f>
        <v>290</v>
      </c>
      <c r="F64" s="25">
        <v>0</v>
      </c>
      <c r="G64" s="25">
        <v>1167</v>
      </c>
      <c r="H64" s="25"/>
      <c r="I64" s="25">
        <f>ROUND(E64/3*12,2)</f>
        <v>1160</v>
      </c>
      <c r="J64" s="25">
        <f>ROUND(F64/3*12,2)</f>
        <v>0</v>
      </c>
      <c r="K64" s="25">
        <f t="shared" si="36"/>
        <v>1160</v>
      </c>
      <c r="L64" s="25">
        <f t="shared" si="36"/>
        <v>0</v>
      </c>
      <c r="M64" s="25">
        <f t="shared" si="36"/>
        <v>1160</v>
      </c>
      <c r="N64" s="25">
        <f t="shared" si="36"/>
        <v>0</v>
      </c>
    </row>
    <row r="65" spans="1:14" ht="18.75">
      <c r="A65" s="14"/>
      <c r="B65" s="14" t="s">
        <v>72</v>
      </c>
      <c r="C65" s="15" t="s">
        <v>73</v>
      </c>
      <c r="D65" s="16" t="s">
        <v>70</v>
      </c>
      <c r="E65" s="17">
        <f t="shared" ref="E65:H65" si="37">+E63+E64</f>
        <v>590</v>
      </c>
      <c r="F65" s="17">
        <f t="shared" si="37"/>
        <v>40</v>
      </c>
      <c r="G65" s="17">
        <f t="shared" si="37"/>
        <v>2487</v>
      </c>
      <c r="H65" s="17">
        <f t="shared" si="37"/>
        <v>182</v>
      </c>
      <c r="I65" s="17">
        <f t="shared" ref="I65:N65" si="38">+I63+I64</f>
        <v>2360</v>
      </c>
      <c r="J65" s="17">
        <f t="shared" si="38"/>
        <v>160</v>
      </c>
      <c r="K65" s="17">
        <f t="shared" si="38"/>
        <v>2360</v>
      </c>
      <c r="L65" s="17">
        <f t="shared" si="38"/>
        <v>160</v>
      </c>
      <c r="M65" s="17">
        <f t="shared" si="38"/>
        <v>2360</v>
      </c>
      <c r="N65" s="17">
        <f t="shared" si="38"/>
        <v>160</v>
      </c>
    </row>
    <row r="66" spans="1:14" ht="18.75">
      <c r="A66" s="10">
        <v>47</v>
      </c>
      <c r="B66" s="10"/>
      <c r="C66" s="11"/>
      <c r="D66" s="12" t="s">
        <v>74</v>
      </c>
      <c r="E66" s="25">
        <v>305.5</v>
      </c>
      <c r="F66" s="25">
        <v>25.5</v>
      </c>
      <c r="G66" s="25">
        <v>1300</v>
      </c>
      <c r="H66" s="25">
        <v>50</v>
      </c>
      <c r="I66" s="25">
        <f>ROUND(E66/3*12,2)</f>
        <v>1222</v>
      </c>
      <c r="J66" s="25">
        <f>ROUND(F66/3*12,2)</f>
        <v>102</v>
      </c>
      <c r="K66" s="25">
        <f>IF(G66&lt;I66,G66,I66)</f>
        <v>1222</v>
      </c>
      <c r="L66" s="25">
        <f>IF(H66&lt;J66,H66,J66)</f>
        <v>50</v>
      </c>
      <c r="M66" s="25">
        <v>1405.8</v>
      </c>
      <c r="N66" s="25">
        <v>74.960000000000008</v>
      </c>
    </row>
    <row r="67" spans="1:14" ht="18.75">
      <c r="A67" s="10">
        <v>48</v>
      </c>
      <c r="B67" s="10"/>
      <c r="C67" s="11"/>
      <c r="D67" s="12" t="s">
        <v>75</v>
      </c>
      <c r="E67" s="25">
        <v>62.41</v>
      </c>
      <c r="F67" s="25">
        <v>0</v>
      </c>
      <c r="G67" s="25">
        <v>253.24</v>
      </c>
      <c r="H67" s="25"/>
      <c r="I67" s="25">
        <f>ROUND(E67/3*12,2)</f>
        <v>249.64</v>
      </c>
      <c r="J67" s="25">
        <f>ROUND(F67/3*12,2)</f>
        <v>0</v>
      </c>
      <c r="K67" s="25">
        <f>IF(G67&lt;I67,G67,I67)</f>
        <v>249.64</v>
      </c>
      <c r="L67" s="25">
        <f>IF(H67&lt;J67,H67,J67)</f>
        <v>0</v>
      </c>
      <c r="M67" s="25">
        <f>IF(I67&lt;K67,I67,K67)</f>
        <v>249.64</v>
      </c>
      <c r="N67" s="25">
        <f>IF(J67&lt;L67,J67,L67)</f>
        <v>0</v>
      </c>
    </row>
    <row r="68" spans="1:14" ht="18.75">
      <c r="A68" s="14"/>
      <c r="B68" s="14" t="s">
        <v>76</v>
      </c>
      <c r="C68" s="15" t="s">
        <v>77</v>
      </c>
      <c r="D68" s="16" t="s">
        <v>74</v>
      </c>
      <c r="E68" s="17">
        <f t="shared" ref="E68:H68" si="39">+E66+E67</f>
        <v>367.90999999999997</v>
      </c>
      <c r="F68" s="17">
        <f t="shared" si="39"/>
        <v>25.5</v>
      </c>
      <c r="G68" s="17">
        <f t="shared" si="39"/>
        <v>1553.24</v>
      </c>
      <c r="H68" s="17">
        <f t="shared" si="39"/>
        <v>50</v>
      </c>
      <c r="I68" s="17">
        <f t="shared" ref="I68:K68" si="40">+I66+I67</f>
        <v>1471.6399999999999</v>
      </c>
      <c r="J68" s="17">
        <f t="shared" si="40"/>
        <v>102</v>
      </c>
      <c r="K68" s="17">
        <f t="shared" si="40"/>
        <v>1471.6399999999999</v>
      </c>
      <c r="L68" s="17">
        <f>+L66+L67</f>
        <v>50</v>
      </c>
      <c r="M68" s="17">
        <f t="shared" ref="M68:N68" si="41">+M66+M67</f>
        <v>1655.44</v>
      </c>
      <c r="N68" s="17">
        <f t="shared" si="41"/>
        <v>74.960000000000008</v>
      </c>
    </row>
    <row r="69" spans="1:14" ht="18.75">
      <c r="A69" s="10">
        <v>51</v>
      </c>
      <c r="B69" s="10"/>
      <c r="C69" s="11"/>
      <c r="D69" s="12" t="s">
        <v>78</v>
      </c>
      <c r="E69" s="29">
        <f>220-20</f>
        <v>200</v>
      </c>
      <c r="F69" s="25">
        <v>6</v>
      </c>
      <c r="G69" s="25">
        <v>805</v>
      </c>
      <c r="H69" s="25">
        <v>20</v>
      </c>
      <c r="I69" s="25">
        <f>ROUND(E69/3*12,2)</f>
        <v>800</v>
      </c>
      <c r="J69" s="25">
        <f>ROUND(F69/3*12,2)</f>
        <v>24</v>
      </c>
      <c r="K69" s="25">
        <f>IF(G69&lt;I69,G69,I69)</f>
        <v>800</v>
      </c>
      <c r="L69" s="25">
        <f>IF(H69&lt;J69,H69,J69)</f>
        <v>20</v>
      </c>
      <c r="M69" s="25">
        <f>IF(I69&lt;K69,I69,K69)+40</f>
        <v>840</v>
      </c>
      <c r="N69" s="25">
        <f>IF(J69&lt;L69,J69,L69)+10</f>
        <v>30</v>
      </c>
    </row>
    <row r="70" spans="1:14" ht="18.75">
      <c r="A70" s="10">
        <v>52</v>
      </c>
      <c r="B70" s="10"/>
      <c r="C70" s="11"/>
      <c r="D70" s="12" t="s">
        <v>79</v>
      </c>
      <c r="E70" s="25">
        <v>440</v>
      </c>
      <c r="F70" s="25"/>
      <c r="G70" s="25">
        <v>2607</v>
      </c>
      <c r="H70" s="25"/>
      <c r="I70" s="25">
        <f>ROUND(E70/3*12,2)</f>
        <v>1760</v>
      </c>
      <c r="J70" s="25">
        <f>ROUND(F70/3*12,2)</f>
        <v>0</v>
      </c>
      <c r="K70" s="25">
        <f>IF(G70&lt;I70,G70,I70)</f>
        <v>1760</v>
      </c>
      <c r="L70" s="25">
        <f>IF(H70&lt;J70,H70,J70)</f>
        <v>0</v>
      </c>
      <c r="M70" s="25">
        <f>IF(I70&lt;K70,I70,K70)</f>
        <v>1760</v>
      </c>
      <c r="N70" s="25">
        <f>IF(J70&lt;L70,J70,L70)</f>
        <v>0</v>
      </c>
    </row>
    <row r="71" spans="1:14" ht="18.75">
      <c r="A71" s="14"/>
      <c r="B71" s="14" t="s">
        <v>80</v>
      </c>
      <c r="C71" s="15" t="s">
        <v>81</v>
      </c>
      <c r="D71" s="16" t="s">
        <v>78</v>
      </c>
      <c r="E71" s="17">
        <f t="shared" ref="E71:H71" si="42">+E69+E70</f>
        <v>640</v>
      </c>
      <c r="F71" s="17">
        <f t="shared" si="42"/>
        <v>6</v>
      </c>
      <c r="G71" s="17">
        <f t="shared" si="42"/>
        <v>3412</v>
      </c>
      <c r="H71" s="17">
        <f t="shared" si="42"/>
        <v>20</v>
      </c>
      <c r="I71" s="17">
        <f t="shared" ref="I71:N71" si="43">+I69+I70</f>
        <v>2560</v>
      </c>
      <c r="J71" s="17">
        <f t="shared" si="43"/>
        <v>24</v>
      </c>
      <c r="K71" s="17">
        <f t="shared" si="43"/>
        <v>2560</v>
      </c>
      <c r="L71" s="17">
        <f t="shared" si="43"/>
        <v>20</v>
      </c>
      <c r="M71" s="17">
        <f t="shared" si="43"/>
        <v>2600</v>
      </c>
      <c r="N71" s="17">
        <f t="shared" si="43"/>
        <v>30</v>
      </c>
    </row>
    <row r="72" spans="1:14" ht="18.75">
      <c r="A72" s="10">
        <v>53</v>
      </c>
      <c r="B72" s="10"/>
      <c r="C72" s="11"/>
      <c r="D72" s="12" t="s">
        <v>82</v>
      </c>
      <c r="E72" s="25">
        <v>600</v>
      </c>
      <c r="F72" s="29">
        <f>220-100</f>
        <v>120</v>
      </c>
      <c r="G72" s="25">
        <v>2500</v>
      </c>
      <c r="H72" s="25">
        <v>300</v>
      </c>
      <c r="I72" s="25">
        <f t="shared" ref="I72:J74" si="44">ROUND(E72/3*12,2)</f>
        <v>2400</v>
      </c>
      <c r="J72" s="25">
        <f t="shared" si="44"/>
        <v>480</v>
      </c>
      <c r="K72" s="25">
        <f t="shared" ref="K72:L74" si="45">IF(G72&lt;I72,G72,I72)</f>
        <v>2400</v>
      </c>
      <c r="L72" s="25">
        <f t="shared" si="45"/>
        <v>300</v>
      </c>
      <c r="M72" s="25">
        <v>2400</v>
      </c>
      <c r="N72" s="25">
        <v>300</v>
      </c>
    </row>
    <row r="73" spans="1:14" ht="15.75">
      <c r="A73" s="10">
        <v>54</v>
      </c>
      <c r="B73" s="10"/>
      <c r="C73" s="11"/>
      <c r="D73" s="37" t="s">
        <v>397</v>
      </c>
      <c r="E73" s="25">
        <v>423</v>
      </c>
      <c r="F73" s="25">
        <v>0</v>
      </c>
      <c r="G73" s="29">
        <v>1768.74</v>
      </c>
      <c r="H73" s="25"/>
      <c r="I73" s="25">
        <f t="shared" si="44"/>
        <v>1692</v>
      </c>
      <c r="J73" s="25">
        <f t="shared" si="44"/>
        <v>0</v>
      </c>
      <c r="K73" s="25">
        <f t="shared" si="45"/>
        <v>1692</v>
      </c>
      <c r="L73" s="25">
        <f t="shared" si="45"/>
        <v>0</v>
      </c>
      <c r="M73" s="25">
        <v>1692</v>
      </c>
      <c r="N73" s="25">
        <v>0</v>
      </c>
    </row>
    <row r="74" spans="1:14" ht="18.75">
      <c r="A74" s="10">
        <v>56</v>
      </c>
      <c r="B74" s="10"/>
      <c r="C74" s="11"/>
      <c r="D74" s="12" t="s">
        <v>83</v>
      </c>
      <c r="E74" s="25">
        <v>204</v>
      </c>
      <c r="F74" s="25">
        <v>0</v>
      </c>
      <c r="G74" s="25">
        <v>454.28</v>
      </c>
      <c r="H74" s="25"/>
      <c r="I74" s="25">
        <f t="shared" si="44"/>
        <v>816</v>
      </c>
      <c r="J74" s="25">
        <f t="shared" si="44"/>
        <v>0</v>
      </c>
      <c r="K74" s="25">
        <f t="shared" si="45"/>
        <v>454.28</v>
      </c>
      <c r="L74" s="25">
        <f t="shared" si="45"/>
        <v>0</v>
      </c>
      <c r="M74" s="25">
        <v>454.28</v>
      </c>
      <c r="N74" s="25">
        <v>0</v>
      </c>
    </row>
    <row r="75" spans="1:14" ht="18.75">
      <c r="A75" s="14"/>
      <c r="B75" s="14" t="s">
        <v>84</v>
      </c>
      <c r="C75" s="15" t="s">
        <v>69</v>
      </c>
      <c r="D75" s="16" t="s">
        <v>82</v>
      </c>
      <c r="E75" s="17">
        <f t="shared" ref="E75:N75" si="46">+E72+E73+E74</f>
        <v>1227</v>
      </c>
      <c r="F75" s="17">
        <f t="shared" si="46"/>
        <v>120</v>
      </c>
      <c r="G75" s="17">
        <f t="shared" si="46"/>
        <v>4723.0199999999995</v>
      </c>
      <c r="H75" s="17">
        <f t="shared" si="46"/>
        <v>300</v>
      </c>
      <c r="I75" s="17">
        <f t="shared" si="46"/>
        <v>4908</v>
      </c>
      <c r="J75" s="17">
        <f t="shared" si="46"/>
        <v>480</v>
      </c>
      <c r="K75" s="17">
        <f t="shared" si="46"/>
        <v>4546.28</v>
      </c>
      <c r="L75" s="17">
        <f t="shared" si="46"/>
        <v>300</v>
      </c>
      <c r="M75" s="17">
        <f t="shared" si="46"/>
        <v>4546.28</v>
      </c>
      <c r="N75" s="17">
        <f t="shared" si="46"/>
        <v>300</v>
      </c>
    </row>
    <row r="76" spans="1:14" ht="18.75">
      <c r="A76" s="10">
        <v>57</v>
      </c>
      <c r="B76" s="10"/>
      <c r="C76" s="11"/>
      <c r="D76" s="12" t="s">
        <v>85</v>
      </c>
      <c r="E76" s="25">
        <v>760</v>
      </c>
      <c r="F76" s="29">
        <f>100-25</f>
        <v>75</v>
      </c>
      <c r="G76" s="25">
        <v>3150</v>
      </c>
      <c r="H76" s="25">
        <v>450</v>
      </c>
      <c r="I76" s="25">
        <f t="shared" ref="I76:J78" si="47">ROUND(E76/3*12,2)</f>
        <v>3040</v>
      </c>
      <c r="J76" s="25">
        <f t="shared" si="47"/>
        <v>300</v>
      </c>
      <c r="K76" s="25">
        <f t="shared" ref="K76:L78" si="48">IF(G76&lt;I76,G76,I76)</f>
        <v>3040</v>
      </c>
      <c r="L76" s="25">
        <f t="shared" si="48"/>
        <v>300</v>
      </c>
      <c r="M76" s="25">
        <v>3040</v>
      </c>
      <c r="N76" s="25">
        <v>300</v>
      </c>
    </row>
    <row r="77" spans="1:14" ht="18.75">
      <c r="A77" s="10">
        <v>58</v>
      </c>
      <c r="B77" s="10"/>
      <c r="C77" s="11"/>
      <c r="D77" s="12" t="s">
        <v>86</v>
      </c>
      <c r="E77" s="25">
        <v>780</v>
      </c>
      <c r="F77" s="25">
        <v>0</v>
      </c>
      <c r="G77" s="25">
        <v>3400.38</v>
      </c>
      <c r="H77" s="25"/>
      <c r="I77" s="25">
        <f t="shared" si="47"/>
        <v>3120</v>
      </c>
      <c r="J77" s="25">
        <f t="shared" si="47"/>
        <v>0</v>
      </c>
      <c r="K77" s="25">
        <f t="shared" si="48"/>
        <v>3120</v>
      </c>
      <c r="L77" s="25">
        <f t="shared" si="48"/>
        <v>0</v>
      </c>
      <c r="M77" s="25">
        <v>3120</v>
      </c>
      <c r="N77" s="25">
        <v>0</v>
      </c>
    </row>
    <row r="78" spans="1:14" ht="18.75">
      <c r="A78" s="10">
        <v>59</v>
      </c>
      <c r="B78" s="10"/>
      <c r="C78" s="11"/>
      <c r="D78" s="12" t="s">
        <v>87</v>
      </c>
      <c r="E78" s="25">
        <v>0</v>
      </c>
      <c r="F78" s="25">
        <v>0</v>
      </c>
      <c r="G78" s="25"/>
      <c r="H78" s="25"/>
      <c r="I78" s="25">
        <f t="shared" si="47"/>
        <v>0</v>
      </c>
      <c r="J78" s="25">
        <f t="shared" si="47"/>
        <v>0</v>
      </c>
      <c r="K78" s="25">
        <f t="shared" si="48"/>
        <v>0</v>
      </c>
      <c r="L78" s="25">
        <f t="shared" si="48"/>
        <v>0</v>
      </c>
      <c r="M78" s="25">
        <v>0</v>
      </c>
      <c r="N78" s="25">
        <v>0</v>
      </c>
    </row>
    <row r="79" spans="1:14" ht="18.75">
      <c r="A79" s="14"/>
      <c r="B79" s="14" t="s">
        <v>88</v>
      </c>
      <c r="C79" s="15" t="s">
        <v>69</v>
      </c>
      <c r="D79" s="16" t="s">
        <v>85</v>
      </c>
      <c r="E79" s="17">
        <f t="shared" ref="E79:H79" si="49">+E76+E77+E78</f>
        <v>1540</v>
      </c>
      <c r="F79" s="17">
        <f t="shared" si="49"/>
        <v>75</v>
      </c>
      <c r="G79" s="17">
        <f t="shared" si="49"/>
        <v>6550.38</v>
      </c>
      <c r="H79" s="17">
        <f t="shared" si="49"/>
        <v>450</v>
      </c>
      <c r="I79" s="17">
        <f t="shared" ref="I79:N79" si="50">+I76+I77+I78</f>
        <v>6160</v>
      </c>
      <c r="J79" s="17">
        <f t="shared" si="50"/>
        <v>300</v>
      </c>
      <c r="K79" s="17">
        <f t="shared" si="50"/>
        <v>6160</v>
      </c>
      <c r="L79" s="17">
        <f t="shared" si="50"/>
        <v>300</v>
      </c>
      <c r="M79" s="17">
        <f t="shared" si="50"/>
        <v>6160</v>
      </c>
      <c r="N79" s="17">
        <f t="shared" si="50"/>
        <v>300</v>
      </c>
    </row>
    <row r="80" spans="1:14" ht="18.75">
      <c r="A80" s="10">
        <v>60</v>
      </c>
      <c r="B80" s="10"/>
      <c r="C80" s="11"/>
      <c r="D80" s="12" t="s">
        <v>89</v>
      </c>
      <c r="E80" s="25">
        <v>595</v>
      </c>
      <c r="F80" s="29">
        <f>182-82-20</f>
        <v>80</v>
      </c>
      <c r="G80" s="25">
        <v>2380</v>
      </c>
      <c r="H80" s="25">
        <v>385</v>
      </c>
      <c r="I80" s="25">
        <f>ROUND(E80/3*12,2)</f>
        <v>2380</v>
      </c>
      <c r="J80" s="25">
        <f>ROUND(F80/3*12,2)</f>
        <v>320</v>
      </c>
      <c r="K80" s="25">
        <f>IF(G80&lt;I80,G80,I80)</f>
        <v>2380</v>
      </c>
      <c r="L80" s="25">
        <f>IF(H80&lt;J80,H80,J80)</f>
        <v>320</v>
      </c>
      <c r="M80" s="25">
        <v>2380</v>
      </c>
      <c r="N80" s="25">
        <v>350</v>
      </c>
    </row>
    <row r="81" spans="1:14" ht="18.75">
      <c r="A81" s="10">
        <v>61</v>
      </c>
      <c r="B81" s="10"/>
      <c r="C81" s="11"/>
      <c r="D81" s="12" t="s">
        <v>90</v>
      </c>
      <c r="E81" s="25">
        <v>411</v>
      </c>
      <c r="F81" s="25">
        <v>0</v>
      </c>
      <c r="G81" s="25">
        <v>1746.65</v>
      </c>
      <c r="H81" s="25"/>
      <c r="I81" s="25">
        <f>ROUND(E81/3*12,2)</f>
        <v>1644</v>
      </c>
      <c r="J81" s="25">
        <f>ROUND(F81/3*12,2)</f>
        <v>0</v>
      </c>
      <c r="K81" s="25">
        <f>IF(G81&lt;I81,G81,I81)</f>
        <v>1644</v>
      </c>
      <c r="L81" s="25">
        <f>IF(H81&lt;J81,H81,J81)</f>
        <v>0</v>
      </c>
      <c r="M81" s="25">
        <v>1702</v>
      </c>
      <c r="N81" s="25">
        <v>0</v>
      </c>
    </row>
    <row r="82" spans="1:14" s="31" customFormat="1" ht="18.75">
      <c r="A82" s="14"/>
      <c r="B82" s="14" t="s">
        <v>91</v>
      </c>
      <c r="C82" s="15" t="s">
        <v>92</v>
      </c>
      <c r="D82" s="16" t="s">
        <v>89</v>
      </c>
      <c r="E82" s="17">
        <f t="shared" ref="E82:H82" si="51">+E80+E81</f>
        <v>1006</v>
      </c>
      <c r="F82" s="17">
        <f t="shared" si="51"/>
        <v>80</v>
      </c>
      <c r="G82" s="17">
        <f t="shared" si="51"/>
        <v>4126.6499999999996</v>
      </c>
      <c r="H82" s="17">
        <f t="shared" si="51"/>
        <v>385</v>
      </c>
      <c r="I82" s="17">
        <f t="shared" ref="I82:N82" si="52">+I80+I81</f>
        <v>4024</v>
      </c>
      <c r="J82" s="17">
        <f t="shared" si="52"/>
        <v>320</v>
      </c>
      <c r="K82" s="17">
        <f t="shared" si="52"/>
        <v>4024</v>
      </c>
      <c r="L82" s="17">
        <f t="shared" si="52"/>
        <v>320</v>
      </c>
      <c r="M82" s="17">
        <f t="shared" si="52"/>
        <v>4082</v>
      </c>
      <c r="N82" s="17">
        <f t="shared" si="52"/>
        <v>350</v>
      </c>
    </row>
    <row r="83" spans="1:14" ht="18.75">
      <c r="A83" s="10">
        <v>62</v>
      </c>
      <c r="B83" s="10"/>
      <c r="C83" s="11"/>
      <c r="D83" s="12" t="s">
        <v>93</v>
      </c>
      <c r="E83" s="29">
        <f>130-10</f>
        <v>120</v>
      </c>
      <c r="F83" s="25">
        <v>0</v>
      </c>
      <c r="G83" s="25">
        <v>500</v>
      </c>
      <c r="H83" s="25"/>
      <c r="I83" s="25">
        <f>ROUND(E83/3*12,2)</f>
        <v>480</v>
      </c>
      <c r="J83" s="25">
        <f>ROUND(F83/3*12,2)</f>
        <v>0</v>
      </c>
      <c r="K83" s="25">
        <f t="shared" ref="K83:N84" si="53">IF(G83&lt;I83,G83,I83)</f>
        <v>480</v>
      </c>
      <c r="L83" s="25">
        <f t="shared" si="53"/>
        <v>0</v>
      </c>
      <c r="M83" s="25">
        <f t="shared" si="53"/>
        <v>480</v>
      </c>
      <c r="N83" s="25">
        <f t="shared" si="53"/>
        <v>0</v>
      </c>
    </row>
    <row r="84" spans="1:14" ht="15.75">
      <c r="A84" s="10">
        <v>63</v>
      </c>
      <c r="B84" s="10"/>
      <c r="C84" s="11"/>
      <c r="D84" s="37" t="s">
        <v>398</v>
      </c>
      <c r="E84" s="29">
        <f>661-61-30</f>
        <v>570</v>
      </c>
      <c r="F84" s="25">
        <v>0</v>
      </c>
      <c r="G84" s="25">
        <v>2890</v>
      </c>
      <c r="H84" s="25"/>
      <c r="I84" s="25">
        <f>ROUND(E84/3*12,2)</f>
        <v>2280</v>
      </c>
      <c r="J84" s="25">
        <f>ROUND(F84/3*12,2)</f>
        <v>0</v>
      </c>
      <c r="K84" s="25">
        <f t="shared" si="53"/>
        <v>2280</v>
      </c>
      <c r="L84" s="25">
        <f t="shared" si="53"/>
        <v>0</v>
      </c>
      <c r="M84" s="25">
        <f t="shared" si="53"/>
        <v>2280</v>
      </c>
      <c r="N84" s="25">
        <f t="shared" si="53"/>
        <v>0</v>
      </c>
    </row>
    <row r="85" spans="1:14" ht="18.75">
      <c r="A85" s="14"/>
      <c r="B85" s="14" t="s">
        <v>94</v>
      </c>
      <c r="C85" s="15" t="s">
        <v>36</v>
      </c>
      <c r="D85" s="16" t="s">
        <v>93</v>
      </c>
      <c r="E85" s="17">
        <f t="shared" ref="E85:N85" si="54">+E83+E84</f>
        <v>690</v>
      </c>
      <c r="F85" s="17">
        <f t="shared" si="54"/>
        <v>0</v>
      </c>
      <c r="G85" s="17">
        <f t="shared" si="54"/>
        <v>3390</v>
      </c>
      <c r="H85" s="17">
        <f t="shared" si="54"/>
        <v>0</v>
      </c>
      <c r="I85" s="17">
        <f t="shared" si="54"/>
        <v>2760</v>
      </c>
      <c r="J85" s="17">
        <f t="shared" si="54"/>
        <v>0</v>
      </c>
      <c r="K85" s="17">
        <f t="shared" si="54"/>
        <v>2760</v>
      </c>
      <c r="L85" s="17">
        <f t="shared" si="54"/>
        <v>0</v>
      </c>
      <c r="M85" s="17">
        <f t="shared" si="54"/>
        <v>2760</v>
      </c>
      <c r="N85" s="17">
        <f t="shared" si="54"/>
        <v>0</v>
      </c>
    </row>
    <row r="86" spans="1:14" ht="18.75">
      <c r="A86" s="14">
        <v>65</v>
      </c>
      <c r="B86" s="14" t="s">
        <v>95</v>
      </c>
      <c r="C86" s="15" t="s">
        <v>96</v>
      </c>
      <c r="D86" s="16" t="s">
        <v>97</v>
      </c>
      <c r="E86" s="25">
        <v>161</v>
      </c>
      <c r="F86" s="25">
        <v>0</v>
      </c>
      <c r="G86" s="25">
        <v>608</v>
      </c>
      <c r="H86" s="25"/>
      <c r="I86" s="25">
        <f t="shared" ref="I86:J88" si="55">ROUND(E86/3*12,2)</f>
        <v>644</v>
      </c>
      <c r="J86" s="25">
        <f t="shared" si="55"/>
        <v>0</v>
      </c>
      <c r="K86" s="25">
        <f>IF(G86&lt;I86,G86,I86)</f>
        <v>608</v>
      </c>
      <c r="L86" s="25">
        <f>IF(H86&lt;J86,H86,J86)</f>
        <v>0</v>
      </c>
      <c r="M86" s="25">
        <f>IF(I86&lt;K86,I86,K86)</f>
        <v>608</v>
      </c>
      <c r="N86" s="25">
        <f>IF(J86&lt;L86,J86,L86)</f>
        <v>0</v>
      </c>
    </row>
    <row r="87" spans="1:14" ht="18.75">
      <c r="A87" s="14">
        <v>66</v>
      </c>
      <c r="B87" s="14" t="s">
        <v>98</v>
      </c>
      <c r="C87" s="15" t="s">
        <v>99</v>
      </c>
      <c r="D87" s="16" t="s">
        <v>100</v>
      </c>
      <c r="E87" s="25">
        <v>116</v>
      </c>
      <c r="F87" s="25">
        <v>0</v>
      </c>
      <c r="G87" s="25"/>
      <c r="H87" s="25"/>
      <c r="I87" s="25">
        <f t="shared" si="55"/>
        <v>464</v>
      </c>
      <c r="J87" s="25">
        <f t="shared" si="55"/>
        <v>0</v>
      </c>
      <c r="K87" s="28">
        <v>450</v>
      </c>
      <c r="L87" s="25">
        <f>IF(H87&lt;J87,H87,J87)</f>
        <v>0</v>
      </c>
      <c r="M87" s="25">
        <v>530</v>
      </c>
      <c r="N87" s="25">
        <v>83.62</v>
      </c>
    </row>
    <row r="88" spans="1:14" ht="31.5">
      <c r="A88" s="14"/>
      <c r="B88" s="14" t="s">
        <v>101</v>
      </c>
      <c r="C88" s="15" t="s">
        <v>66</v>
      </c>
      <c r="D88" s="37" t="s">
        <v>399</v>
      </c>
      <c r="E88" s="25">
        <v>0</v>
      </c>
      <c r="F88" s="25">
        <v>0</v>
      </c>
      <c r="G88" s="25"/>
      <c r="H88" s="25"/>
      <c r="I88" s="25">
        <f t="shared" si="55"/>
        <v>0</v>
      </c>
      <c r="J88" s="25">
        <f t="shared" si="55"/>
        <v>0</v>
      </c>
      <c r="K88" s="25">
        <f>IF(G88&lt;I88,G88,I88)</f>
        <v>0</v>
      </c>
      <c r="L88" s="25">
        <f>IF(H88&lt;J88,H88,J88)</f>
        <v>0</v>
      </c>
      <c r="M88" s="25">
        <v>0</v>
      </c>
      <c r="N88" s="25">
        <v>0</v>
      </c>
    </row>
    <row r="89" spans="1:14" s="24" customFormat="1" ht="18.75">
      <c r="A89" s="14"/>
      <c r="B89" s="14"/>
      <c r="C89" s="15"/>
      <c r="D89" s="16" t="s">
        <v>102</v>
      </c>
      <c r="E89" s="17">
        <f t="shared" ref="E89:I89" si="56">+E88+E87+E86+E85+E82+E79+E75+E71+E68+E65+E62+E59+E56+E52+E49+E45+E44+E43+E39+E36+E33+E29+E26+E16+E13+E10+E7</f>
        <v>25249.14</v>
      </c>
      <c r="F89" s="17">
        <f t="shared" si="56"/>
        <v>10561.27</v>
      </c>
      <c r="G89" s="17">
        <f t="shared" si="56"/>
        <v>113708.90999999999</v>
      </c>
      <c r="H89" s="17">
        <f t="shared" si="56"/>
        <v>43044.45</v>
      </c>
      <c r="I89" s="17">
        <f t="shared" si="56"/>
        <v>100996.56</v>
      </c>
      <c r="J89" s="17">
        <f t="shared" ref="J89:K89" si="57">+J88+J87+J86+J85+J82+J79+J75+J71+J68+J65+J62+J59+J56+J52+J49+J45+J44+J43+J39+J36+J33+J29+J26+J16+J13+J10+J7</f>
        <v>42245.08</v>
      </c>
      <c r="K89" s="17">
        <f t="shared" si="57"/>
        <v>99236.219999999987</v>
      </c>
      <c r="L89" s="17">
        <f>+L88+L87+L86+L85+L82+L79+L75+L71+L68+L65+L62+L59+L56+L52+L49+L45+L44+L43+L39+L36+L33+L29+L26+L16+L13+L10+L7</f>
        <v>40891.449999999997</v>
      </c>
      <c r="M89" s="17">
        <f t="shared" ref="M89:N89" si="58">+M88+M87+M86+M85+M82+M79+M75+M71+M68+M65+M62+M59+M56+M52+M49+M45+M44+M43+M39+M36+M33+M29+M26+M16+M13+M10+M7</f>
        <v>100751.02</v>
      </c>
      <c r="N89" s="17">
        <f t="shared" si="58"/>
        <v>41553.03</v>
      </c>
    </row>
    <row r="90" spans="1:14" ht="18.75">
      <c r="A90" s="10">
        <v>1</v>
      </c>
      <c r="B90" s="10" t="s">
        <v>103</v>
      </c>
      <c r="C90" s="11" t="s">
        <v>104</v>
      </c>
      <c r="D90" s="12" t="s">
        <v>105</v>
      </c>
      <c r="E90" s="29">
        <f>510-10</f>
        <v>500</v>
      </c>
      <c r="F90" s="29">
        <f>50-10</f>
        <v>40</v>
      </c>
      <c r="G90" s="25">
        <v>2030</v>
      </c>
      <c r="H90" s="25">
        <v>212</v>
      </c>
      <c r="I90" s="25">
        <f>ROUND(E90/3*12,2)</f>
        <v>2000</v>
      </c>
      <c r="J90" s="25">
        <f>ROUND(F90/3*12,2)</f>
        <v>160</v>
      </c>
      <c r="K90" s="25">
        <f t="shared" ref="K90:L92" si="59">IF(G90&lt;I90,G90,I90)</f>
        <v>2000</v>
      </c>
      <c r="L90" s="25">
        <f t="shared" si="59"/>
        <v>160</v>
      </c>
      <c r="M90" s="25">
        <v>2200</v>
      </c>
      <c r="N90" s="25">
        <v>250</v>
      </c>
    </row>
    <row r="91" spans="1:14" ht="18.75">
      <c r="A91" s="10">
        <v>2</v>
      </c>
      <c r="B91" s="10"/>
      <c r="C91" s="11"/>
      <c r="D91" s="12" t="s">
        <v>106</v>
      </c>
      <c r="E91" s="25">
        <v>400</v>
      </c>
      <c r="F91" s="25">
        <v>35</v>
      </c>
      <c r="G91" s="25">
        <v>1750</v>
      </c>
      <c r="H91" s="28">
        <v>386</v>
      </c>
      <c r="I91" s="25">
        <f>ROUND(E91/3*12,2)</f>
        <v>1600</v>
      </c>
      <c r="J91" s="25">
        <f>ROUND(F91/3*12,2)+246</f>
        <v>386</v>
      </c>
      <c r="K91" s="25">
        <f t="shared" si="59"/>
        <v>1600</v>
      </c>
      <c r="L91" s="25">
        <f t="shared" si="59"/>
        <v>386</v>
      </c>
      <c r="M91" s="25">
        <v>1600</v>
      </c>
      <c r="N91" s="25">
        <v>386</v>
      </c>
    </row>
    <row r="92" spans="1:14" ht="18.75">
      <c r="A92" s="10">
        <v>3</v>
      </c>
      <c r="B92" s="10"/>
      <c r="C92" s="11"/>
      <c r="D92" s="12" t="s">
        <v>107</v>
      </c>
      <c r="E92" s="25">
        <v>165</v>
      </c>
      <c r="F92" s="25"/>
      <c r="G92" s="25">
        <v>805</v>
      </c>
      <c r="H92" s="25"/>
      <c r="I92" s="25">
        <f>ROUND(E92/3*12,2)</f>
        <v>660</v>
      </c>
      <c r="J92" s="25">
        <f>ROUND(F92/3*12,2)</f>
        <v>0</v>
      </c>
      <c r="K92" s="25">
        <f t="shared" si="59"/>
        <v>660</v>
      </c>
      <c r="L92" s="25">
        <f t="shared" si="59"/>
        <v>0</v>
      </c>
      <c r="M92" s="25">
        <v>660</v>
      </c>
      <c r="N92" s="25">
        <v>0</v>
      </c>
    </row>
    <row r="93" spans="1:14" ht="18.75">
      <c r="A93" s="14"/>
      <c r="B93" s="14" t="s">
        <v>108</v>
      </c>
      <c r="C93" s="15" t="s">
        <v>66</v>
      </c>
      <c r="D93" s="16" t="s">
        <v>106</v>
      </c>
      <c r="E93" s="17">
        <f t="shared" ref="E93:H93" si="60">+E91+E92</f>
        <v>565</v>
      </c>
      <c r="F93" s="17">
        <f t="shared" si="60"/>
        <v>35</v>
      </c>
      <c r="G93" s="17">
        <f t="shared" si="60"/>
        <v>2555</v>
      </c>
      <c r="H93" s="17">
        <f t="shared" si="60"/>
        <v>386</v>
      </c>
      <c r="I93" s="17">
        <f t="shared" ref="I93:N93" si="61">+I91+I92</f>
        <v>2260</v>
      </c>
      <c r="J93" s="17">
        <f t="shared" si="61"/>
        <v>386</v>
      </c>
      <c r="K93" s="17">
        <f t="shared" si="61"/>
        <v>2260</v>
      </c>
      <c r="L93" s="17">
        <f t="shared" si="61"/>
        <v>386</v>
      </c>
      <c r="M93" s="17">
        <f t="shared" si="61"/>
        <v>2260</v>
      </c>
      <c r="N93" s="17">
        <f t="shared" si="61"/>
        <v>386</v>
      </c>
    </row>
    <row r="94" spans="1:14" ht="18.75">
      <c r="A94" s="14">
        <v>4</v>
      </c>
      <c r="B94" s="14" t="s">
        <v>109</v>
      </c>
      <c r="C94" s="15" t="s">
        <v>36</v>
      </c>
      <c r="D94" s="16" t="s">
        <v>110</v>
      </c>
      <c r="E94" s="25">
        <v>405</v>
      </c>
      <c r="F94" s="25">
        <v>110</v>
      </c>
      <c r="G94" s="25">
        <v>1900</v>
      </c>
      <c r="H94" s="25">
        <v>500</v>
      </c>
      <c r="I94" s="25">
        <f>ROUND(E94/3*12,2)</f>
        <v>1620</v>
      </c>
      <c r="J94" s="25">
        <f>ROUND(F94/3*12,2)</f>
        <v>440</v>
      </c>
      <c r="K94" s="25">
        <f t="shared" ref="K94:N96" si="62">IF(G94&lt;I94,G94,I94)</f>
        <v>1620</v>
      </c>
      <c r="L94" s="25">
        <f t="shared" si="62"/>
        <v>440</v>
      </c>
      <c r="M94" s="25">
        <f t="shared" si="62"/>
        <v>1620</v>
      </c>
      <c r="N94" s="25">
        <f t="shared" si="62"/>
        <v>440</v>
      </c>
    </row>
    <row r="95" spans="1:14" ht="18.75">
      <c r="A95" s="14">
        <v>5</v>
      </c>
      <c r="B95" s="14" t="s">
        <v>111</v>
      </c>
      <c r="C95" s="15" t="s">
        <v>112</v>
      </c>
      <c r="D95" s="16" t="s">
        <v>113</v>
      </c>
      <c r="E95" s="25">
        <v>120</v>
      </c>
      <c r="F95" s="25">
        <v>0</v>
      </c>
      <c r="G95" s="25">
        <v>600</v>
      </c>
      <c r="H95" s="25">
        <v>7</v>
      </c>
      <c r="I95" s="25">
        <f>ROUND(E95/3*12,2)</f>
        <v>480</v>
      </c>
      <c r="J95" s="25">
        <f>ROUND(F95/3*12,2)+7</f>
        <v>7</v>
      </c>
      <c r="K95" s="25">
        <f t="shared" si="62"/>
        <v>480</v>
      </c>
      <c r="L95" s="25">
        <f t="shared" si="62"/>
        <v>7</v>
      </c>
      <c r="M95" s="25">
        <f t="shared" si="62"/>
        <v>480</v>
      </c>
      <c r="N95" s="25">
        <f t="shared" si="62"/>
        <v>7</v>
      </c>
    </row>
    <row r="96" spans="1:14" ht="18.75">
      <c r="A96" s="10">
        <v>6</v>
      </c>
      <c r="B96" s="10"/>
      <c r="C96" s="11"/>
      <c r="D96" s="12" t="s">
        <v>114</v>
      </c>
      <c r="E96" s="25">
        <v>710</v>
      </c>
      <c r="F96" s="29">
        <f>1162-162-100</f>
        <v>900</v>
      </c>
      <c r="G96" s="25">
        <v>3516</v>
      </c>
      <c r="H96" s="25">
        <v>3580</v>
      </c>
      <c r="I96" s="25">
        <f>ROUND(E96/3*12,2)</f>
        <v>2840</v>
      </c>
      <c r="J96" s="25">
        <f>ROUND(F96/3*12,2)</f>
        <v>3600</v>
      </c>
      <c r="K96" s="25">
        <f t="shared" si="62"/>
        <v>2840</v>
      </c>
      <c r="L96" s="25">
        <f t="shared" si="62"/>
        <v>3580</v>
      </c>
      <c r="M96" s="25">
        <f t="shared" si="62"/>
        <v>2840</v>
      </c>
      <c r="N96" s="25">
        <f t="shared" si="62"/>
        <v>3580</v>
      </c>
    </row>
    <row r="97" spans="1:14" ht="18.75">
      <c r="A97" s="10">
        <v>7</v>
      </c>
      <c r="B97" s="10"/>
      <c r="C97" s="11"/>
      <c r="D97" s="12" t="s">
        <v>115</v>
      </c>
      <c r="E97" s="29">
        <f>142.75-20</f>
        <v>122.75</v>
      </c>
      <c r="F97" s="25">
        <v>0</v>
      </c>
      <c r="G97" s="25">
        <v>571.6</v>
      </c>
      <c r="H97" s="25"/>
      <c r="I97" s="25">
        <f>ROUND(E97/3*12,2)</f>
        <v>491</v>
      </c>
      <c r="J97" s="25">
        <f>ROUND(F97/3*12,2)</f>
        <v>0</v>
      </c>
      <c r="K97" s="25">
        <f>IF(G97&lt;I97,G97,I97)</f>
        <v>491</v>
      </c>
      <c r="L97" s="25">
        <f>IF(H97&lt;J97,H97,J97)</f>
        <v>0</v>
      </c>
      <c r="M97" s="25">
        <v>633.75</v>
      </c>
      <c r="N97" s="25">
        <v>0</v>
      </c>
    </row>
    <row r="98" spans="1:14" ht="18.75">
      <c r="A98" s="14"/>
      <c r="B98" s="14" t="s">
        <v>116</v>
      </c>
      <c r="C98" s="15" t="s">
        <v>117</v>
      </c>
      <c r="D98" s="16" t="s">
        <v>114</v>
      </c>
      <c r="E98" s="17">
        <f t="shared" ref="E98:G98" si="63">+E96+E97</f>
        <v>832.75</v>
      </c>
      <c r="F98" s="17">
        <f t="shared" si="63"/>
        <v>900</v>
      </c>
      <c r="G98" s="17">
        <f t="shared" si="63"/>
        <v>4087.6</v>
      </c>
      <c r="H98" s="17">
        <f t="shared" ref="H98:N98" si="64">+H96+H97</f>
        <v>3580</v>
      </c>
      <c r="I98" s="17">
        <f t="shared" si="64"/>
        <v>3331</v>
      </c>
      <c r="J98" s="17">
        <f t="shared" si="64"/>
        <v>3600</v>
      </c>
      <c r="K98" s="17">
        <f t="shared" si="64"/>
        <v>3331</v>
      </c>
      <c r="L98" s="17">
        <f t="shared" si="64"/>
        <v>3580</v>
      </c>
      <c r="M98" s="17">
        <f t="shared" si="64"/>
        <v>3473.75</v>
      </c>
      <c r="N98" s="17">
        <f t="shared" si="64"/>
        <v>3580</v>
      </c>
    </row>
    <row r="99" spans="1:14" ht="18.75">
      <c r="A99" s="10">
        <v>8</v>
      </c>
      <c r="B99" s="10"/>
      <c r="C99" s="11"/>
      <c r="D99" s="12" t="s">
        <v>118</v>
      </c>
      <c r="E99" s="25">
        <v>1080</v>
      </c>
      <c r="F99" s="29">
        <f>837-37-50</f>
        <v>750</v>
      </c>
      <c r="G99" s="25">
        <v>4350</v>
      </c>
      <c r="H99" s="25">
        <v>3200</v>
      </c>
      <c r="I99" s="25">
        <f>ROUND(E99/3*12,2)</f>
        <v>4320</v>
      </c>
      <c r="J99" s="25">
        <f>ROUND(F99/3*12,2)</f>
        <v>3000</v>
      </c>
      <c r="K99" s="25">
        <f t="shared" ref="K99:N100" si="65">IF(G99&lt;I99,G99,I99)</f>
        <v>4320</v>
      </c>
      <c r="L99" s="25">
        <f t="shared" si="65"/>
        <v>3000</v>
      </c>
      <c r="M99" s="25">
        <f t="shared" si="65"/>
        <v>4320</v>
      </c>
      <c r="N99" s="25">
        <f t="shared" si="65"/>
        <v>3000</v>
      </c>
    </row>
    <row r="100" spans="1:14" ht="18.75">
      <c r="A100" s="10">
        <v>9</v>
      </c>
      <c r="B100" s="10"/>
      <c r="C100" s="11"/>
      <c r="D100" s="12" t="s">
        <v>119</v>
      </c>
      <c r="E100" s="25">
        <v>189</v>
      </c>
      <c r="F100" s="25"/>
      <c r="G100" s="25">
        <v>654.75</v>
      </c>
      <c r="H100" s="25"/>
      <c r="I100" s="25">
        <f>ROUND(E100/3*12,2)</f>
        <v>756</v>
      </c>
      <c r="J100" s="25">
        <f>ROUND(F100/3*12,2)</f>
        <v>0</v>
      </c>
      <c r="K100" s="25">
        <f t="shared" si="65"/>
        <v>654.75</v>
      </c>
      <c r="L100" s="25">
        <f t="shared" si="65"/>
        <v>0</v>
      </c>
      <c r="M100" s="25">
        <f t="shared" si="65"/>
        <v>654.75</v>
      </c>
      <c r="N100" s="25">
        <f t="shared" si="65"/>
        <v>0</v>
      </c>
    </row>
    <row r="101" spans="1:14" ht="18.75">
      <c r="A101" s="14"/>
      <c r="B101" s="14" t="s">
        <v>120</v>
      </c>
      <c r="C101" s="15" t="s">
        <v>121</v>
      </c>
      <c r="D101" s="16" t="s">
        <v>118</v>
      </c>
      <c r="E101" s="17">
        <f t="shared" ref="E101:H101" si="66">+E99+E100</f>
        <v>1269</v>
      </c>
      <c r="F101" s="17">
        <f t="shared" si="66"/>
        <v>750</v>
      </c>
      <c r="G101" s="17">
        <f t="shared" si="66"/>
        <v>5004.75</v>
      </c>
      <c r="H101" s="17">
        <f t="shared" si="66"/>
        <v>3200</v>
      </c>
      <c r="I101" s="17">
        <f t="shared" ref="I101:N101" si="67">+I99+I100</f>
        <v>5076</v>
      </c>
      <c r="J101" s="17">
        <f t="shared" si="67"/>
        <v>3000</v>
      </c>
      <c r="K101" s="17">
        <f t="shared" si="67"/>
        <v>4974.75</v>
      </c>
      <c r="L101" s="17">
        <f t="shared" si="67"/>
        <v>3000</v>
      </c>
      <c r="M101" s="17">
        <f t="shared" si="67"/>
        <v>4974.75</v>
      </c>
      <c r="N101" s="17">
        <f t="shared" si="67"/>
        <v>3000</v>
      </c>
    </row>
    <row r="102" spans="1:14" ht="18.75">
      <c r="A102" s="10">
        <v>10</v>
      </c>
      <c r="B102" s="10"/>
      <c r="C102" s="11"/>
      <c r="D102" s="12" t="s">
        <v>122</v>
      </c>
      <c r="E102" s="25">
        <v>543</v>
      </c>
      <c r="F102" s="29">
        <f>120-30</f>
        <v>90</v>
      </c>
      <c r="G102" s="25">
        <v>2180</v>
      </c>
      <c r="H102" s="25">
        <v>210</v>
      </c>
      <c r="I102" s="25">
        <f>ROUND(E102/3*12,2)</f>
        <v>2172</v>
      </c>
      <c r="J102" s="25">
        <f>ROUND(F102/3*12,2)</f>
        <v>360</v>
      </c>
      <c r="K102" s="25">
        <f>IF(G102&lt;I102,G102,I102)</f>
        <v>2172</v>
      </c>
      <c r="L102" s="25">
        <f>IF(H102&lt;J102,H102,J102)</f>
        <v>210</v>
      </c>
      <c r="M102" s="25">
        <f>IF(I102&lt;K102,I102,K102)</f>
        <v>2172</v>
      </c>
      <c r="N102" s="25">
        <f>IF(J102&lt;L102,J102,L102)</f>
        <v>210</v>
      </c>
    </row>
    <row r="103" spans="1:14" ht="37.5">
      <c r="A103" s="10">
        <v>11</v>
      </c>
      <c r="B103" s="10"/>
      <c r="C103" s="11"/>
      <c r="D103" s="12" t="s">
        <v>123</v>
      </c>
      <c r="E103" s="25">
        <v>75</v>
      </c>
      <c r="F103" s="25"/>
      <c r="G103" s="25">
        <v>300</v>
      </c>
      <c r="H103" s="25"/>
      <c r="I103" s="25">
        <f>ROUND(E103/3*12,2)</f>
        <v>300</v>
      </c>
      <c r="J103" s="25">
        <f>ROUND(F103/3*12,2)</f>
        <v>0</v>
      </c>
      <c r="K103" s="25">
        <f>IF(G103&lt;I103,G103,I103)</f>
        <v>300</v>
      </c>
      <c r="L103" s="25">
        <f>IF(H103&lt;J103,H103,J103)</f>
        <v>0</v>
      </c>
      <c r="M103" s="25">
        <v>325</v>
      </c>
      <c r="N103" s="25">
        <v>0</v>
      </c>
    </row>
    <row r="104" spans="1:14" ht="18.75">
      <c r="A104" s="14"/>
      <c r="B104" s="14" t="s">
        <v>124</v>
      </c>
      <c r="C104" s="15" t="s">
        <v>117</v>
      </c>
      <c r="D104" s="16" t="s">
        <v>122</v>
      </c>
      <c r="E104" s="17">
        <f t="shared" ref="E104:H104" si="68">+E102+E103</f>
        <v>618</v>
      </c>
      <c r="F104" s="17">
        <f t="shared" si="68"/>
        <v>90</v>
      </c>
      <c r="G104" s="17">
        <f t="shared" si="68"/>
        <v>2480</v>
      </c>
      <c r="H104" s="17">
        <f t="shared" si="68"/>
        <v>210</v>
      </c>
      <c r="I104" s="17">
        <f t="shared" ref="I104:N104" si="69">+I102+I103</f>
        <v>2472</v>
      </c>
      <c r="J104" s="17">
        <f t="shared" si="69"/>
        <v>360</v>
      </c>
      <c r="K104" s="17">
        <f t="shared" si="69"/>
        <v>2472</v>
      </c>
      <c r="L104" s="17">
        <f t="shared" si="69"/>
        <v>210</v>
      </c>
      <c r="M104" s="17">
        <f t="shared" si="69"/>
        <v>2497</v>
      </c>
      <c r="N104" s="17">
        <f t="shared" si="69"/>
        <v>210</v>
      </c>
    </row>
    <row r="105" spans="1:14" ht="18.75">
      <c r="A105" s="10">
        <v>12</v>
      </c>
      <c r="B105" s="10"/>
      <c r="C105" s="11"/>
      <c r="D105" s="12" t="s">
        <v>125</v>
      </c>
      <c r="E105" s="25">
        <v>1625</v>
      </c>
      <c r="F105" s="29">
        <f>1337-150</f>
        <v>1187</v>
      </c>
      <c r="G105" s="25">
        <v>6500</v>
      </c>
      <c r="H105" s="25">
        <v>4500</v>
      </c>
      <c r="I105" s="25">
        <f>ROUND(E105/3*12,2)</f>
        <v>6500</v>
      </c>
      <c r="J105" s="25">
        <f>ROUND(F105/3*12,2)</f>
        <v>4748</v>
      </c>
      <c r="K105" s="25">
        <f t="shared" ref="K105:N106" si="70">IF(G105&lt;I105,G105,I105)</f>
        <v>6500</v>
      </c>
      <c r="L105" s="25">
        <f t="shared" si="70"/>
        <v>4500</v>
      </c>
      <c r="M105" s="25">
        <f t="shared" si="70"/>
        <v>6500</v>
      </c>
      <c r="N105" s="25">
        <f t="shared" si="70"/>
        <v>4500</v>
      </c>
    </row>
    <row r="106" spans="1:14" ht="18.75">
      <c r="A106" s="10">
        <v>13</v>
      </c>
      <c r="B106" s="10"/>
      <c r="C106" s="11"/>
      <c r="D106" s="12" t="s">
        <v>126</v>
      </c>
      <c r="E106" s="25">
        <v>430</v>
      </c>
      <c r="F106" s="25"/>
      <c r="G106" s="25">
        <v>2140</v>
      </c>
      <c r="H106" s="25"/>
      <c r="I106" s="25">
        <f>ROUND(E106/3*12,2)</f>
        <v>1720</v>
      </c>
      <c r="J106" s="25">
        <f>ROUND(F106/3*12,2)</f>
        <v>0</v>
      </c>
      <c r="K106" s="25">
        <f t="shared" si="70"/>
        <v>1720</v>
      </c>
      <c r="L106" s="25">
        <f t="shared" si="70"/>
        <v>0</v>
      </c>
      <c r="M106" s="25">
        <f t="shared" si="70"/>
        <v>1720</v>
      </c>
      <c r="N106" s="25">
        <f t="shared" si="70"/>
        <v>0</v>
      </c>
    </row>
    <row r="107" spans="1:14" ht="18.75">
      <c r="A107" s="14"/>
      <c r="B107" s="14" t="s">
        <v>127</v>
      </c>
      <c r="C107" s="15" t="s">
        <v>77</v>
      </c>
      <c r="D107" s="16" t="s">
        <v>125</v>
      </c>
      <c r="E107" s="17">
        <f t="shared" ref="E107:G107" si="71">+E105+E106</f>
        <v>2055</v>
      </c>
      <c r="F107" s="17">
        <f t="shared" si="71"/>
        <v>1187</v>
      </c>
      <c r="G107" s="17">
        <f t="shared" si="71"/>
        <v>8640</v>
      </c>
      <c r="H107" s="17">
        <f t="shared" ref="H107:N107" si="72">+H105+H106</f>
        <v>4500</v>
      </c>
      <c r="I107" s="17">
        <f t="shared" si="72"/>
        <v>8220</v>
      </c>
      <c r="J107" s="17">
        <f t="shared" si="72"/>
        <v>4748</v>
      </c>
      <c r="K107" s="17">
        <f t="shared" si="72"/>
        <v>8220</v>
      </c>
      <c r="L107" s="17">
        <f t="shared" si="72"/>
        <v>4500</v>
      </c>
      <c r="M107" s="17">
        <f t="shared" si="72"/>
        <v>8220</v>
      </c>
      <c r="N107" s="17">
        <f t="shared" si="72"/>
        <v>4500</v>
      </c>
    </row>
    <row r="108" spans="1:14" ht="18.75">
      <c r="A108" s="10">
        <v>14</v>
      </c>
      <c r="B108" s="10"/>
      <c r="C108" s="11"/>
      <c r="D108" s="12" t="s">
        <v>128</v>
      </c>
      <c r="E108" s="25">
        <v>420.92</v>
      </c>
      <c r="F108" s="29">
        <f>170.19-70.19-20</f>
        <v>80</v>
      </c>
      <c r="G108" s="25">
        <v>1525</v>
      </c>
      <c r="H108" s="25">
        <v>185</v>
      </c>
      <c r="I108" s="25">
        <f>ROUND(E108/3*12,2)</f>
        <v>1683.68</v>
      </c>
      <c r="J108" s="25">
        <f>ROUND(F108/3*12,2)</f>
        <v>320</v>
      </c>
      <c r="K108" s="25">
        <f t="shared" ref="K108:M109" si="73">IF(G108&lt;I108,G108,I108)</f>
        <v>1525</v>
      </c>
      <c r="L108" s="25">
        <f t="shared" si="73"/>
        <v>185</v>
      </c>
      <c r="M108" s="25">
        <f t="shared" si="73"/>
        <v>1525</v>
      </c>
      <c r="N108" s="25">
        <v>191</v>
      </c>
    </row>
    <row r="109" spans="1:14" ht="18.75">
      <c r="A109" s="10">
        <v>15</v>
      </c>
      <c r="B109" s="10"/>
      <c r="C109" s="11"/>
      <c r="D109" s="12" t="s">
        <v>129</v>
      </c>
      <c r="E109" s="29">
        <f>150-25</f>
        <v>125</v>
      </c>
      <c r="F109" s="25">
        <v>0</v>
      </c>
      <c r="G109" s="25">
        <v>483.22</v>
      </c>
      <c r="H109" s="25"/>
      <c r="I109" s="25">
        <f>ROUND(E109/3*12,2)</f>
        <v>500</v>
      </c>
      <c r="J109" s="25">
        <f>ROUND(F109/3*12,2)</f>
        <v>0</v>
      </c>
      <c r="K109" s="25">
        <f t="shared" si="73"/>
        <v>483.22</v>
      </c>
      <c r="L109" s="25">
        <f t="shared" si="73"/>
        <v>0</v>
      </c>
      <c r="M109" s="25">
        <f t="shared" si="73"/>
        <v>483.22</v>
      </c>
      <c r="N109" s="25">
        <v>0</v>
      </c>
    </row>
    <row r="110" spans="1:14" ht="18.75">
      <c r="A110" s="14"/>
      <c r="B110" s="14" t="s">
        <v>130</v>
      </c>
      <c r="C110" s="15" t="s">
        <v>117</v>
      </c>
      <c r="D110" s="16" t="s">
        <v>128</v>
      </c>
      <c r="E110" s="17">
        <f t="shared" ref="E110:G110" si="74">+E108+E109</f>
        <v>545.92000000000007</v>
      </c>
      <c r="F110" s="17">
        <f t="shared" si="74"/>
        <v>80</v>
      </c>
      <c r="G110" s="17">
        <f t="shared" si="74"/>
        <v>2008.22</v>
      </c>
      <c r="H110" s="17">
        <f t="shared" ref="H110:N110" si="75">+H108+H109</f>
        <v>185</v>
      </c>
      <c r="I110" s="17">
        <f t="shared" si="75"/>
        <v>2183.6800000000003</v>
      </c>
      <c r="J110" s="17">
        <f t="shared" si="75"/>
        <v>320</v>
      </c>
      <c r="K110" s="17">
        <f t="shared" si="75"/>
        <v>2008.22</v>
      </c>
      <c r="L110" s="17">
        <f t="shared" si="75"/>
        <v>185</v>
      </c>
      <c r="M110" s="17">
        <f t="shared" si="75"/>
        <v>2008.22</v>
      </c>
      <c r="N110" s="17">
        <f t="shared" si="75"/>
        <v>191</v>
      </c>
    </row>
    <row r="111" spans="1:14" ht="18.75">
      <c r="A111" s="10">
        <v>16</v>
      </c>
      <c r="B111" s="10"/>
      <c r="C111" s="11"/>
      <c r="D111" s="12" t="s">
        <v>131</v>
      </c>
      <c r="E111" s="25">
        <v>435</v>
      </c>
      <c r="F111" s="25">
        <v>21</v>
      </c>
      <c r="G111" s="25">
        <v>1770</v>
      </c>
      <c r="H111" s="25">
        <v>250</v>
      </c>
      <c r="I111" s="25">
        <f>ROUND(E111/3*12,2)</f>
        <v>1740</v>
      </c>
      <c r="J111" s="25">
        <f>ROUND(F111/3*12,2)</f>
        <v>84</v>
      </c>
      <c r="K111" s="25">
        <f>IF(G111&lt;I111,G111,I111)</f>
        <v>1740</v>
      </c>
      <c r="L111" s="25">
        <f>IF(H111&lt;J111,H111,J111)</f>
        <v>84</v>
      </c>
      <c r="M111" s="25">
        <v>1925</v>
      </c>
      <c r="N111" s="25">
        <v>297</v>
      </c>
    </row>
    <row r="112" spans="1:14" ht="18.75">
      <c r="A112" s="10">
        <v>17</v>
      </c>
      <c r="B112" s="10"/>
      <c r="C112" s="11"/>
      <c r="D112" s="12" t="s">
        <v>132</v>
      </c>
      <c r="E112" s="29">
        <f>435-35</f>
        <v>400</v>
      </c>
      <c r="F112" s="25">
        <v>0</v>
      </c>
      <c r="G112" s="25">
        <v>2427.56</v>
      </c>
      <c r="H112" s="25"/>
      <c r="I112" s="25">
        <f>ROUND(E112/3*12,2)</f>
        <v>1600</v>
      </c>
      <c r="J112" s="25">
        <f>ROUND(F112/3*12,2)</f>
        <v>0</v>
      </c>
      <c r="K112" s="25">
        <f>IF(G112&lt;I112,G112,I112)</f>
        <v>1600</v>
      </c>
      <c r="L112" s="25">
        <f>IF(H112&lt;J112,H112,J112)</f>
        <v>0</v>
      </c>
      <c r="M112" s="25">
        <v>1600</v>
      </c>
      <c r="N112" s="25">
        <v>0</v>
      </c>
    </row>
    <row r="113" spans="1:14" ht="18.75">
      <c r="A113" s="14"/>
      <c r="B113" s="14" t="s">
        <v>133</v>
      </c>
      <c r="C113" s="15" t="s">
        <v>36</v>
      </c>
      <c r="D113" s="16" t="s">
        <v>131</v>
      </c>
      <c r="E113" s="17">
        <f t="shared" ref="E113:G113" si="76">+E111+E112</f>
        <v>835</v>
      </c>
      <c r="F113" s="17">
        <f t="shared" si="76"/>
        <v>21</v>
      </c>
      <c r="G113" s="17">
        <f t="shared" si="76"/>
        <v>4197.5599999999995</v>
      </c>
      <c r="H113" s="17">
        <f t="shared" ref="H113:N113" si="77">+H111+H112</f>
        <v>250</v>
      </c>
      <c r="I113" s="17">
        <f t="shared" si="77"/>
        <v>3340</v>
      </c>
      <c r="J113" s="17">
        <f t="shared" si="77"/>
        <v>84</v>
      </c>
      <c r="K113" s="17">
        <f t="shared" si="77"/>
        <v>3340</v>
      </c>
      <c r="L113" s="17">
        <f t="shared" si="77"/>
        <v>84</v>
      </c>
      <c r="M113" s="17">
        <f t="shared" si="77"/>
        <v>3525</v>
      </c>
      <c r="N113" s="17">
        <f t="shared" si="77"/>
        <v>297</v>
      </c>
    </row>
    <row r="114" spans="1:14" ht="18.75">
      <c r="A114" s="14">
        <v>18</v>
      </c>
      <c r="B114" s="14" t="s">
        <v>134</v>
      </c>
      <c r="C114" s="15" t="s">
        <v>50</v>
      </c>
      <c r="D114" s="16" t="s">
        <v>135</v>
      </c>
      <c r="E114" s="25">
        <v>240</v>
      </c>
      <c r="F114" s="25">
        <v>0</v>
      </c>
      <c r="G114" s="25">
        <v>950.05</v>
      </c>
      <c r="H114" s="25">
        <v>0</v>
      </c>
      <c r="I114" s="25">
        <f t="shared" ref="I114:J116" si="78">ROUND(E114/3*12,2)</f>
        <v>960</v>
      </c>
      <c r="J114" s="25">
        <f t="shared" si="78"/>
        <v>0</v>
      </c>
      <c r="K114" s="25">
        <f t="shared" ref="K114:L116" si="79">IF(G114&lt;I114,G114,I114)</f>
        <v>950.05</v>
      </c>
      <c r="L114" s="25">
        <f t="shared" si="79"/>
        <v>0</v>
      </c>
      <c r="M114" s="25">
        <v>1019.5</v>
      </c>
      <c r="N114" s="25">
        <v>0</v>
      </c>
    </row>
    <row r="115" spans="1:14" ht="18.75">
      <c r="A115" s="10">
        <v>19</v>
      </c>
      <c r="B115" s="10"/>
      <c r="C115" s="11"/>
      <c r="D115" s="12" t="s">
        <v>136</v>
      </c>
      <c r="E115" s="25">
        <v>180</v>
      </c>
      <c r="F115" s="29">
        <f>81-30</f>
        <v>51</v>
      </c>
      <c r="G115" s="25">
        <v>750</v>
      </c>
      <c r="H115" s="25">
        <v>85</v>
      </c>
      <c r="I115" s="25">
        <f t="shared" si="78"/>
        <v>720</v>
      </c>
      <c r="J115" s="25">
        <f t="shared" si="78"/>
        <v>204</v>
      </c>
      <c r="K115" s="25">
        <f t="shared" si="79"/>
        <v>720</v>
      </c>
      <c r="L115" s="25">
        <f t="shared" si="79"/>
        <v>85</v>
      </c>
      <c r="M115" s="25">
        <v>720</v>
      </c>
      <c r="N115" s="25">
        <v>100</v>
      </c>
    </row>
    <row r="116" spans="1:14" ht="37.5">
      <c r="A116" s="10">
        <v>20</v>
      </c>
      <c r="B116" s="10"/>
      <c r="C116" s="11"/>
      <c r="D116" s="12" t="s">
        <v>137</v>
      </c>
      <c r="E116" s="29">
        <f>100-20</f>
        <v>80</v>
      </c>
      <c r="F116" s="25"/>
      <c r="G116" s="25">
        <v>515</v>
      </c>
      <c r="H116" s="25"/>
      <c r="I116" s="25">
        <f t="shared" si="78"/>
        <v>320</v>
      </c>
      <c r="J116" s="25">
        <f t="shared" si="78"/>
        <v>0</v>
      </c>
      <c r="K116" s="25">
        <f t="shared" si="79"/>
        <v>320</v>
      </c>
      <c r="L116" s="25">
        <f t="shared" si="79"/>
        <v>0</v>
      </c>
      <c r="M116" s="25">
        <v>390.13</v>
      </c>
      <c r="N116" s="25">
        <v>0</v>
      </c>
    </row>
    <row r="117" spans="1:14" ht="18.75">
      <c r="A117" s="14"/>
      <c r="B117" s="14" t="s">
        <v>138</v>
      </c>
      <c r="C117" s="15" t="s">
        <v>50</v>
      </c>
      <c r="D117" s="16" t="s">
        <v>136</v>
      </c>
      <c r="E117" s="17">
        <f t="shared" ref="E117:H117" si="80">+E115+E116</f>
        <v>260</v>
      </c>
      <c r="F117" s="17">
        <f t="shared" si="80"/>
        <v>51</v>
      </c>
      <c r="G117" s="17">
        <f t="shared" si="80"/>
        <v>1265</v>
      </c>
      <c r="H117" s="17">
        <f t="shared" si="80"/>
        <v>85</v>
      </c>
      <c r="I117" s="17">
        <f t="shared" ref="I117:N117" si="81">+I115+I116</f>
        <v>1040</v>
      </c>
      <c r="J117" s="17">
        <f t="shared" si="81"/>
        <v>204</v>
      </c>
      <c r="K117" s="17">
        <f t="shared" si="81"/>
        <v>1040</v>
      </c>
      <c r="L117" s="17">
        <f t="shared" si="81"/>
        <v>85</v>
      </c>
      <c r="M117" s="17">
        <f t="shared" si="81"/>
        <v>1110.1300000000001</v>
      </c>
      <c r="N117" s="17">
        <f t="shared" si="81"/>
        <v>100</v>
      </c>
    </row>
    <row r="118" spans="1:14" ht="18.75">
      <c r="A118" s="14">
        <v>21</v>
      </c>
      <c r="B118" s="14" t="s">
        <v>139</v>
      </c>
      <c r="C118" s="15" t="s">
        <v>9</v>
      </c>
      <c r="D118" s="16" t="s">
        <v>140</v>
      </c>
      <c r="E118" s="29">
        <f>262-12</f>
        <v>250</v>
      </c>
      <c r="F118" s="29">
        <f>130-30</f>
        <v>100</v>
      </c>
      <c r="G118" s="25">
        <v>930</v>
      </c>
      <c r="H118" s="25">
        <v>150</v>
      </c>
      <c r="I118" s="25">
        <f t="shared" ref="I118:J121" si="82">ROUND(E118/3*12,2)</f>
        <v>1000</v>
      </c>
      <c r="J118" s="25">
        <f t="shared" si="82"/>
        <v>400</v>
      </c>
      <c r="K118" s="25">
        <f>IF(G118&lt;I118,G118,I118)</f>
        <v>930</v>
      </c>
      <c r="L118" s="25">
        <f>IF(H118&lt;J118,H118,J118)</f>
        <v>150</v>
      </c>
      <c r="M118" s="25">
        <f>IF(I118&lt;K118,I118,K118)</f>
        <v>930</v>
      </c>
      <c r="N118" s="25">
        <f>IF(J118&lt;L118,J118,L118)</f>
        <v>150</v>
      </c>
    </row>
    <row r="119" spans="1:14" ht="18.75">
      <c r="A119" s="14">
        <v>22</v>
      </c>
      <c r="B119" s="14" t="s">
        <v>141</v>
      </c>
      <c r="C119" s="15" t="s">
        <v>9</v>
      </c>
      <c r="D119" s="16" t="s">
        <v>142</v>
      </c>
      <c r="E119" s="25">
        <v>180</v>
      </c>
      <c r="F119" s="25">
        <v>1.5</v>
      </c>
      <c r="G119" s="25">
        <v>800</v>
      </c>
      <c r="H119" s="25">
        <v>65</v>
      </c>
      <c r="I119" s="25">
        <f t="shared" si="82"/>
        <v>720</v>
      </c>
      <c r="J119" s="25">
        <f t="shared" si="82"/>
        <v>6</v>
      </c>
      <c r="K119" s="25">
        <f t="shared" ref="K119:L121" si="83">IF(G119&lt;I119,G119,I119)</f>
        <v>720</v>
      </c>
      <c r="L119" s="25">
        <f t="shared" si="83"/>
        <v>6</v>
      </c>
      <c r="M119" s="25">
        <v>750</v>
      </c>
      <c r="N119" s="25">
        <v>6</v>
      </c>
    </row>
    <row r="120" spans="1:14" ht="18.75">
      <c r="A120" s="10">
        <v>23</v>
      </c>
      <c r="B120" s="10"/>
      <c r="C120" s="11"/>
      <c r="D120" s="12" t="s">
        <v>143</v>
      </c>
      <c r="E120" s="25">
        <v>160</v>
      </c>
      <c r="F120" s="25">
        <v>0</v>
      </c>
      <c r="G120" s="25">
        <v>660</v>
      </c>
      <c r="H120" s="25">
        <v>0</v>
      </c>
      <c r="I120" s="25">
        <f t="shared" si="82"/>
        <v>640</v>
      </c>
      <c r="J120" s="25">
        <f t="shared" si="82"/>
        <v>0</v>
      </c>
      <c r="K120" s="25">
        <f t="shared" si="83"/>
        <v>640</v>
      </c>
      <c r="L120" s="25">
        <f t="shared" si="83"/>
        <v>0</v>
      </c>
      <c r="M120" s="25">
        <f>IF(I120&lt;K120,I120,K120)</f>
        <v>640</v>
      </c>
      <c r="N120" s="25">
        <f>IF(J120&lt;L120,J120,L120)</f>
        <v>0</v>
      </c>
    </row>
    <row r="121" spans="1:14" ht="18.75">
      <c r="A121" s="10">
        <v>24</v>
      </c>
      <c r="B121" s="10"/>
      <c r="C121" s="11"/>
      <c r="D121" s="12" t="s">
        <v>144</v>
      </c>
      <c r="E121" s="25">
        <v>300</v>
      </c>
      <c r="F121" s="25">
        <v>0</v>
      </c>
      <c r="G121" s="25">
        <v>900</v>
      </c>
      <c r="H121" s="25"/>
      <c r="I121" s="25">
        <f t="shared" si="82"/>
        <v>1200</v>
      </c>
      <c r="J121" s="25">
        <f t="shared" si="82"/>
        <v>0</v>
      </c>
      <c r="K121" s="25">
        <f t="shared" si="83"/>
        <v>900</v>
      </c>
      <c r="L121" s="25">
        <f t="shared" si="83"/>
        <v>0</v>
      </c>
      <c r="M121" s="25">
        <f>IF(I121&lt;K121,I121,K121)</f>
        <v>900</v>
      </c>
      <c r="N121" s="25">
        <f>IF(J121&lt;L121,J121,L121)</f>
        <v>0</v>
      </c>
    </row>
    <row r="122" spans="1:14" ht="18.75">
      <c r="A122" s="14"/>
      <c r="B122" s="14" t="s">
        <v>145</v>
      </c>
      <c r="C122" s="15" t="s">
        <v>60</v>
      </c>
      <c r="D122" s="16" t="s">
        <v>143</v>
      </c>
      <c r="E122" s="17">
        <f t="shared" ref="E122:H122" si="84">+E120+E121</f>
        <v>460</v>
      </c>
      <c r="F122" s="17">
        <f t="shared" si="84"/>
        <v>0</v>
      </c>
      <c r="G122" s="17">
        <f t="shared" si="84"/>
        <v>1560</v>
      </c>
      <c r="H122" s="17">
        <f t="shared" si="84"/>
        <v>0</v>
      </c>
      <c r="I122" s="17">
        <f t="shared" ref="I122:N122" si="85">+I120+I121</f>
        <v>1840</v>
      </c>
      <c r="J122" s="17">
        <f t="shared" si="85"/>
        <v>0</v>
      </c>
      <c r="K122" s="17">
        <f t="shared" si="85"/>
        <v>1540</v>
      </c>
      <c r="L122" s="17">
        <f t="shared" si="85"/>
        <v>0</v>
      </c>
      <c r="M122" s="17">
        <f t="shared" si="85"/>
        <v>1540</v>
      </c>
      <c r="N122" s="17">
        <f t="shared" si="85"/>
        <v>0</v>
      </c>
    </row>
    <row r="123" spans="1:14" ht="18.75">
      <c r="A123" s="10">
        <v>25</v>
      </c>
      <c r="B123" s="10"/>
      <c r="C123" s="11"/>
      <c r="D123" s="12" t="s">
        <v>146</v>
      </c>
      <c r="E123" s="25">
        <v>135</v>
      </c>
      <c r="F123" s="25">
        <v>0</v>
      </c>
      <c r="G123" s="25">
        <v>600</v>
      </c>
      <c r="H123" s="29">
        <v>50</v>
      </c>
      <c r="I123" s="25">
        <f>ROUND(E123/3*12,2)</f>
        <v>540</v>
      </c>
      <c r="J123" s="25">
        <f>ROUND(F123/3*12,2)</f>
        <v>0</v>
      </c>
      <c r="K123" s="25">
        <f>IF(G123&lt;I123,G123,I123)</f>
        <v>540</v>
      </c>
      <c r="L123" s="25">
        <f>IF(H123&lt;J123,H123,J123)+50</f>
        <v>50</v>
      </c>
      <c r="M123" s="25">
        <v>540</v>
      </c>
      <c r="N123" s="25">
        <v>50</v>
      </c>
    </row>
    <row r="124" spans="1:14" ht="18.75">
      <c r="A124" s="10">
        <v>26</v>
      </c>
      <c r="B124" s="10"/>
      <c r="C124" s="11"/>
      <c r="D124" s="12" t="s">
        <v>147</v>
      </c>
      <c r="E124" s="25">
        <v>60</v>
      </c>
      <c r="F124" s="25">
        <v>0</v>
      </c>
      <c r="G124" s="25">
        <v>285</v>
      </c>
      <c r="H124" s="25"/>
      <c r="I124" s="25">
        <f>ROUND(E124/3*12,2)</f>
        <v>240</v>
      </c>
      <c r="J124" s="25">
        <f>ROUND(F124/3*12,2)</f>
        <v>0</v>
      </c>
      <c r="K124" s="25">
        <f>IF(G124&lt;I124,G124,I124)</f>
        <v>240</v>
      </c>
      <c r="L124" s="25">
        <f>IF(H124&lt;J124,H124,J124)</f>
        <v>0</v>
      </c>
      <c r="M124" s="25">
        <v>240</v>
      </c>
      <c r="N124" s="25">
        <v>0</v>
      </c>
    </row>
    <row r="125" spans="1:14" ht="18.75">
      <c r="A125" s="14"/>
      <c r="B125" s="14" t="s">
        <v>148</v>
      </c>
      <c r="C125" s="15" t="s">
        <v>121</v>
      </c>
      <c r="D125" s="16" t="s">
        <v>146</v>
      </c>
      <c r="E125" s="17">
        <f t="shared" ref="E125:G125" si="86">+E123+E124</f>
        <v>195</v>
      </c>
      <c r="F125" s="17">
        <f t="shared" si="86"/>
        <v>0</v>
      </c>
      <c r="G125" s="17">
        <f t="shared" si="86"/>
        <v>885</v>
      </c>
      <c r="H125" s="17">
        <f t="shared" ref="H125:N125" si="87">+H123+H124</f>
        <v>50</v>
      </c>
      <c r="I125" s="17">
        <f t="shared" si="87"/>
        <v>780</v>
      </c>
      <c r="J125" s="17">
        <f t="shared" si="87"/>
        <v>0</v>
      </c>
      <c r="K125" s="17">
        <f t="shared" si="87"/>
        <v>780</v>
      </c>
      <c r="L125" s="17">
        <f t="shared" si="87"/>
        <v>50</v>
      </c>
      <c r="M125" s="17">
        <f t="shared" si="87"/>
        <v>780</v>
      </c>
      <c r="N125" s="17">
        <f t="shared" si="87"/>
        <v>50</v>
      </c>
    </row>
    <row r="126" spans="1:14" ht="18.75">
      <c r="A126" s="14">
        <v>27</v>
      </c>
      <c r="B126" s="14" t="s">
        <v>149</v>
      </c>
      <c r="C126" s="15" t="s">
        <v>21</v>
      </c>
      <c r="D126" s="16" t="s">
        <v>150</v>
      </c>
      <c r="E126" s="25">
        <v>185</v>
      </c>
      <c r="F126" s="25">
        <v>12</v>
      </c>
      <c r="G126" s="25">
        <v>726</v>
      </c>
      <c r="H126" s="25">
        <v>80</v>
      </c>
      <c r="I126" s="25">
        <f t="shared" ref="I126:J133" si="88">ROUND(E126/3*12,2)</f>
        <v>740</v>
      </c>
      <c r="J126" s="25">
        <f t="shared" si="88"/>
        <v>48</v>
      </c>
      <c r="K126" s="25">
        <f>IF(G126&lt;I126,G126,I126)</f>
        <v>726</v>
      </c>
      <c r="L126" s="25">
        <f>IF(H126&lt;J126,H126,J126)</f>
        <v>48</v>
      </c>
      <c r="M126" s="25">
        <f>IF(I126&lt;K126,I126,K126)</f>
        <v>726</v>
      </c>
      <c r="N126" s="25">
        <f>IF(J126&lt;L126,J126,L126)</f>
        <v>48</v>
      </c>
    </row>
    <row r="127" spans="1:14" ht="18.75">
      <c r="A127" s="14">
        <v>28</v>
      </c>
      <c r="B127" s="14" t="s">
        <v>151</v>
      </c>
      <c r="C127" s="15" t="s">
        <v>9</v>
      </c>
      <c r="D127" s="16" t="s">
        <v>152</v>
      </c>
      <c r="E127" s="29">
        <f>248-40</f>
        <v>208</v>
      </c>
      <c r="F127" s="29">
        <f>62-12-10</f>
        <v>40</v>
      </c>
      <c r="G127" s="25">
        <v>690</v>
      </c>
      <c r="H127" s="25">
        <v>120</v>
      </c>
      <c r="I127" s="25">
        <f t="shared" si="88"/>
        <v>832</v>
      </c>
      <c r="J127" s="25">
        <f t="shared" si="88"/>
        <v>160</v>
      </c>
      <c r="K127" s="25">
        <f t="shared" ref="K127:L133" si="89">IF(G127&lt;I127,G127,I127)</f>
        <v>690</v>
      </c>
      <c r="L127" s="25">
        <f t="shared" si="89"/>
        <v>120</v>
      </c>
      <c r="M127" s="25">
        <v>775</v>
      </c>
      <c r="N127" s="25">
        <v>120</v>
      </c>
    </row>
    <row r="128" spans="1:14" ht="18.75">
      <c r="A128" s="14">
        <v>29</v>
      </c>
      <c r="B128" s="14" t="s">
        <v>153</v>
      </c>
      <c r="C128" s="15" t="s">
        <v>154</v>
      </c>
      <c r="D128" s="16" t="s">
        <v>155</v>
      </c>
      <c r="E128" s="25">
        <v>90</v>
      </c>
      <c r="F128" s="25">
        <v>0</v>
      </c>
      <c r="G128" s="25">
        <v>365</v>
      </c>
      <c r="H128" s="25"/>
      <c r="I128" s="25">
        <f t="shared" si="88"/>
        <v>360</v>
      </c>
      <c r="J128" s="25">
        <f t="shared" si="88"/>
        <v>0</v>
      </c>
      <c r="K128" s="25">
        <f t="shared" si="89"/>
        <v>360</v>
      </c>
      <c r="L128" s="25">
        <f t="shared" si="89"/>
        <v>0</v>
      </c>
      <c r="M128" s="25">
        <f>IF(I128&lt;K128,I128,K128)</f>
        <v>360</v>
      </c>
      <c r="N128" s="25">
        <f>IF(J128&lt;L128,J128,L128)</f>
        <v>0</v>
      </c>
    </row>
    <row r="129" spans="1:14" ht="18.75">
      <c r="A129" s="14">
        <v>30</v>
      </c>
      <c r="B129" s="14" t="s">
        <v>156</v>
      </c>
      <c r="C129" s="15" t="s">
        <v>66</v>
      </c>
      <c r="D129" s="16" t="s">
        <v>157</v>
      </c>
      <c r="E129" s="25">
        <v>190</v>
      </c>
      <c r="F129" s="25">
        <v>0</v>
      </c>
      <c r="G129" s="25">
        <v>720</v>
      </c>
      <c r="H129" s="25"/>
      <c r="I129" s="25">
        <f t="shared" si="88"/>
        <v>760</v>
      </c>
      <c r="J129" s="25">
        <f t="shared" si="88"/>
        <v>0</v>
      </c>
      <c r="K129" s="25">
        <f t="shared" si="89"/>
        <v>720</v>
      </c>
      <c r="L129" s="25">
        <f t="shared" si="89"/>
        <v>0</v>
      </c>
      <c r="M129" s="25">
        <f>IF(I129&lt;K129,I129,K129)</f>
        <v>720</v>
      </c>
      <c r="N129" s="25">
        <f>IF(J129&lt;L129,J129,L129)</f>
        <v>0</v>
      </c>
    </row>
    <row r="130" spans="1:14" ht="18.75">
      <c r="A130" s="14">
        <v>31</v>
      </c>
      <c r="B130" s="14" t="s">
        <v>158</v>
      </c>
      <c r="C130" s="15" t="s">
        <v>159</v>
      </c>
      <c r="D130" s="16" t="s">
        <v>160</v>
      </c>
      <c r="E130" s="25">
        <v>72</v>
      </c>
      <c r="F130" s="25">
        <v>0</v>
      </c>
      <c r="G130" s="25">
        <v>300</v>
      </c>
      <c r="H130" s="25"/>
      <c r="I130" s="25">
        <f t="shared" si="88"/>
        <v>288</v>
      </c>
      <c r="J130" s="25">
        <f t="shared" si="88"/>
        <v>0</v>
      </c>
      <c r="K130" s="25">
        <f t="shared" si="89"/>
        <v>288</v>
      </c>
      <c r="L130" s="25">
        <f t="shared" si="89"/>
        <v>0</v>
      </c>
      <c r="M130" s="25">
        <v>288</v>
      </c>
      <c r="N130" s="25">
        <v>12.04</v>
      </c>
    </row>
    <row r="131" spans="1:14" ht="18.75">
      <c r="A131" s="14">
        <v>32</v>
      </c>
      <c r="B131" s="14" t="s">
        <v>161</v>
      </c>
      <c r="C131" s="15" t="s">
        <v>9</v>
      </c>
      <c r="D131" s="16" t="s">
        <v>162</v>
      </c>
      <c r="E131" s="25">
        <v>136</v>
      </c>
      <c r="F131" s="25">
        <v>0</v>
      </c>
      <c r="G131" s="25">
        <v>500</v>
      </c>
      <c r="H131" s="25"/>
      <c r="I131" s="25">
        <f t="shared" si="88"/>
        <v>544</v>
      </c>
      <c r="J131" s="25">
        <f t="shared" si="88"/>
        <v>0</v>
      </c>
      <c r="K131" s="25">
        <f t="shared" si="89"/>
        <v>500</v>
      </c>
      <c r="L131" s="25">
        <f t="shared" si="89"/>
        <v>0</v>
      </c>
      <c r="M131" s="25">
        <v>500</v>
      </c>
      <c r="N131" s="25">
        <v>0</v>
      </c>
    </row>
    <row r="132" spans="1:14" ht="18.75">
      <c r="A132" s="10">
        <v>33</v>
      </c>
      <c r="B132" s="10"/>
      <c r="C132" s="11"/>
      <c r="D132" s="12" t="s">
        <v>163</v>
      </c>
      <c r="E132" s="25">
        <v>150</v>
      </c>
      <c r="F132" s="25">
        <v>38.54</v>
      </c>
      <c r="G132" s="25">
        <v>550</v>
      </c>
      <c r="H132" s="25">
        <v>38.54</v>
      </c>
      <c r="I132" s="25">
        <f t="shared" si="88"/>
        <v>600</v>
      </c>
      <c r="J132" s="25">
        <f t="shared" si="88"/>
        <v>154.16</v>
      </c>
      <c r="K132" s="25">
        <f t="shared" si="89"/>
        <v>550</v>
      </c>
      <c r="L132" s="25">
        <f t="shared" si="89"/>
        <v>38.54</v>
      </c>
      <c r="M132" s="25">
        <v>550</v>
      </c>
      <c r="N132" s="25">
        <v>38.54</v>
      </c>
    </row>
    <row r="133" spans="1:14" ht="18.75">
      <c r="A133" s="10">
        <v>34</v>
      </c>
      <c r="B133" s="10"/>
      <c r="C133" s="11"/>
      <c r="D133" s="12" t="s">
        <v>164</v>
      </c>
      <c r="E133" s="25">
        <f>180-40</f>
        <v>140</v>
      </c>
      <c r="F133" s="25">
        <v>0</v>
      </c>
      <c r="G133" s="25">
        <v>610</v>
      </c>
      <c r="H133" s="25"/>
      <c r="I133" s="25">
        <f t="shared" si="88"/>
        <v>560</v>
      </c>
      <c r="J133" s="25">
        <f t="shared" si="88"/>
        <v>0</v>
      </c>
      <c r="K133" s="25">
        <f t="shared" si="89"/>
        <v>560</v>
      </c>
      <c r="L133" s="25">
        <f t="shared" si="89"/>
        <v>0</v>
      </c>
      <c r="M133" s="25">
        <v>560</v>
      </c>
      <c r="N133" s="25">
        <v>0</v>
      </c>
    </row>
    <row r="134" spans="1:14" ht="18.75">
      <c r="A134" s="14"/>
      <c r="B134" s="14" t="s">
        <v>165</v>
      </c>
      <c r="C134" s="15" t="s">
        <v>9</v>
      </c>
      <c r="D134" s="16" t="s">
        <v>163</v>
      </c>
      <c r="E134" s="17">
        <f t="shared" ref="E134:H134" si="90">+E132+E133</f>
        <v>290</v>
      </c>
      <c r="F134" s="17">
        <f t="shared" si="90"/>
        <v>38.54</v>
      </c>
      <c r="G134" s="17">
        <f t="shared" si="90"/>
        <v>1160</v>
      </c>
      <c r="H134" s="17">
        <f t="shared" si="90"/>
        <v>38.54</v>
      </c>
      <c r="I134" s="17">
        <f t="shared" ref="I134:N134" si="91">+I132+I133</f>
        <v>1160</v>
      </c>
      <c r="J134" s="17">
        <f t="shared" si="91"/>
        <v>154.16</v>
      </c>
      <c r="K134" s="17">
        <f t="shared" si="91"/>
        <v>1110</v>
      </c>
      <c r="L134" s="17">
        <f t="shared" si="91"/>
        <v>38.54</v>
      </c>
      <c r="M134" s="17">
        <f t="shared" si="91"/>
        <v>1110</v>
      </c>
      <c r="N134" s="17">
        <f t="shared" si="91"/>
        <v>38.54</v>
      </c>
    </row>
    <row r="135" spans="1:14" ht="18.75">
      <c r="A135" s="14"/>
      <c r="B135" s="14"/>
      <c r="C135" s="15"/>
      <c r="D135" s="16" t="s">
        <v>166</v>
      </c>
      <c r="E135" s="13">
        <f t="shared" ref="E135:G135" si="92">+E134+E131+E130+E129+E128+E127+E126+E125+E117+E118+E119+E122+E110+E113+E114+E104+E107+E101+E98+E95+E94+E93+E90</f>
        <v>10501.67</v>
      </c>
      <c r="F135" s="13">
        <f t="shared" si="92"/>
        <v>3456.04</v>
      </c>
      <c r="G135" s="13">
        <f t="shared" si="92"/>
        <v>44354.18</v>
      </c>
      <c r="H135" s="13">
        <f t="shared" ref="H135:N135" si="93">+H134+H131+H130+H129+H128+H127+H126+H125+H117+H118+H119+H122+H110+H113+H114+H104+H107+H101+H98+H95+H94+H93+H90</f>
        <v>13618.54</v>
      </c>
      <c r="I135" s="13">
        <f t="shared" si="93"/>
        <v>42006.68</v>
      </c>
      <c r="J135" s="13">
        <f t="shared" si="93"/>
        <v>14077.16</v>
      </c>
      <c r="K135" s="13">
        <f t="shared" si="93"/>
        <v>41060.019999999997</v>
      </c>
      <c r="L135" s="13">
        <f t="shared" si="93"/>
        <v>13049.54</v>
      </c>
      <c r="M135" s="13">
        <f t="shared" si="93"/>
        <v>41867.35</v>
      </c>
      <c r="N135" s="13">
        <f t="shared" si="93"/>
        <v>13385.58</v>
      </c>
    </row>
    <row r="136" spans="1:14" ht="18.75">
      <c r="A136" s="14">
        <v>1</v>
      </c>
      <c r="B136" s="14" t="s">
        <v>167</v>
      </c>
      <c r="C136" s="15" t="s">
        <v>36</v>
      </c>
      <c r="D136" s="16" t="s">
        <v>168</v>
      </c>
      <c r="E136" s="25">
        <v>350</v>
      </c>
      <c r="F136" s="25">
        <v>25</v>
      </c>
      <c r="G136" s="25">
        <v>1300</v>
      </c>
      <c r="H136" s="25">
        <v>400</v>
      </c>
      <c r="I136" s="25">
        <f t="shared" ref="I136:J138" si="94">ROUND(E136/3*12,2)</f>
        <v>1400</v>
      </c>
      <c r="J136" s="25">
        <f t="shared" si="94"/>
        <v>100</v>
      </c>
      <c r="K136" s="25">
        <f>IF(G136&lt;I136,G136,I136)</f>
        <v>1300</v>
      </c>
      <c r="L136" s="25">
        <f>IF(H136&lt;J136,H136,J136)</f>
        <v>100</v>
      </c>
      <c r="M136" s="25">
        <v>1300</v>
      </c>
      <c r="N136" s="25">
        <v>250</v>
      </c>
    </row>
    <row r="137" spans="1:14" ht="18.75">
      <c r="A137" s="10">
        <v>2</v>
      </c>
      <c r="B137" s="10"/>
      <c r="C137" s="11"/>
      <c r="D137" s="12" t="s">
        <v>169</v>
      </c>
      <c r="E137" s="25">
        <v>570</v>
      </c>
      <c r="F137" s="25">
        <v>60</v>
      </c>
      <c r="G137" s="25">
        <v>2432.54</v>
      </c>
      <c r="H137" s="25">
        <v>125</v>
      </c>
      <c r="I137" s="25">
        <f t="shared" si="94"/>
        <v>2280</v>
      </c>
      <c r="J137" s="25">
        <f t="shared" si="94"/>
        <v>240</v>
      </c>
      <c r="K137" s="25">
        <f>IF(G137&lt;I137,G137,I137)</f>
        <v>2280</v>
      </c>
      <c r="L137" s="25">
        <f>IF(H137&lt;J137,H137,J137)</f>
        <v>125</v>
      </c>
      <c r="M137" s="25">
        <f>IF(I137&lt;K137,I137,K137)</f>
        <v>2280</v>
      </c>
      <c r="N137" s="25">
        <f>IF(J137&lt;L137,J137,L137)</f>
        <v>125</v>
      </c>
    </row>
    <row r="138" spans="1:14" ht="18.75">
      <c r="A138" s="10">
        <v>3</v>
      </c>
      <c r="B138" s="10"/>
      <c r="C138" s="11"/>
      <c r="D138" s="12" t="s">
        <v>170</v>
      </c>
      <c r="E138" s="25">
        <v>0</v>
      </c>
      <c r="F138" s="25">
        <v>0</v>
      </c>
      <c r="G138" s="25"/>
      <c r="H138" s="25"/>
      <c r="I138" s="25">
        <f t="shared" si="94"/>
        <v>0</v>
      </c>
      <c r="J138" s="25">
        <f t="shared" si="94"/>
        <v>0</v>
      </c>
      <c r="K138" s="25">
        <f>IF(G138&lt;I138,G138,I138)+4</f>
        <v>4</v>
      </c>
      <c r="L138" s="25">
        <f>IF(H138&lt;J138,H138,J138)</f>
        <v>0</v>
      </c>
      <c r="M138" s="25">
        <f>IF(I138&lt;K138,I138,K138)+4</f>
        <v>4</v>
      </c>
      <c r="N138" s="25">
        <f>IF(J138&lt;L138,J138,L138)</f>
        <v>0</v>
      </c>
    </row>
    <row r="139" spans="1:14" ht="18.75">
      <c r="A139" s="14"/>
      <c r="B139" s="14" t="s">
        <v>171</v>
      </c>
      <c r="C139" s="15" t="s">
        <v>92</v>
      </c>
      <c r="D139" s="16" t="s">
        <v>169</v>
      </c>
      <c r="E139" s="17">
        <f t="shared" ref="E139:I139" si="95">+E137+E138</f>
        <v>570</v>
      </c>
      <c r="F139" s="17">
        <f t="shared" si="95"/>
        <v>60</v>
      </c>
      <c r="G139" s="17">
        <f t="shared" si="95"/>
        <v>2432.54</v>
      </c>
      <c r="H139" s="17">
        <f t="shared" si="95"/>
        <v>125</v>
      </c>
      <c r="I139" s="17">
        <f t="shared" si="95"/>
        <v>2280</v>
      </c>
      <c r="J139" s="17">
        <f t="shared" ref="J139:K139" si="96">+J137+J138</f>
        <v>240</v>
      </c>
      <c r="K139" s="17">
        <f t="shared" si="96"/>
        <v>2284</v>
      </c>
      <c r="L139" s="17">
        <f t="shared" ref="L139:N139" si="97">+L137+L138</f>
        <v>125</v>
      </c>
      <c r="M139" s="17">
        <f t="shared" si="97"/>
        <v>2284</v>
      </c>
      <c r="N139" s="17">
        <f t="shared" si="97"/>
        <v>125</v>
      </c>
    </row>
    <row r="140" spans="1:14" ht="18.75">
      <c r="A140" s="10">
        <v>4</v>
      </c>
      <c r="B140" s="10"/>
      <c r="C140" s="11"/>
      <c r="D140" s="12" t="s">
        <v>172</v>
      </c>
      <c r="E140" s="25">
        <v>525</v>
      </c>
      <c r="F140" s="25">
        <v>80</v>
      </c>
      <c r="G140" s="25">
        <v>2450</v>
      </c>
      <c r="H140" s="25">
        <v>750</v>
      </c>
      <c r="I140" s="25">
        <f>ROUND(E140/3*12,2)</f>
        <v>2100</v>
      </c>
      <c r="J140" s="25">
        <f>ROUND(F140/3*12,2)</f>
        <v>320</v>
      </c>
      <c r="K140" s="25">
        <f>IF(G140&lt;I140,G140,I140)</f>
        <v>2100</v>
      </c>
      <c r="L140" s="25">
        <f>IF(H140&lt;J140,H140,J140)</f>
        <v>320</v>
      </c>
      <c r="M140" s="25">
        <v>2100</v>
      </c>
      <c r="N140" s="25">
        <v>320</v>
      </c>
    </row>
    <row r="141" spans="1:14" ht="18.75">
      <c r="A141" s="10">
        <v>5</v>
      </c>
      <c r="B141" s="10"/>
      <c r="C141" s="11"/>
      <c r="D141" s="12" t="s">
        <v>173</v>
      </c>
      <c r="E141" s="25">
        <v>0</v>
      </c>
      <c r="F141" s="25">
        <v>0</v>
      </c>
      <c r="G141" s="25"/>
      <c r="H141" s="25"/>
      <c r="I141" s="25">
        <f>ROUND(E141/3*12,2)</f>
        <v>0</v>
      </c>
      <c r="J141" s="25">
        <f>ROUND(F141/3*12,2)</f>
        <v>0</v>
      </c>
      <c r="K141" s="25">
        <f>IF(G141&lt;I141,G141,I141)</f>
        <v>0</v>
      </c>
      <c r="L141" s="25">
        <f>IF(H141&lt;J141,H141,J141)</f>
        <v>0</v>
      </c>
      <c r="M141" s="25">
        <v>0</v>
      </c>
      <c r="N141" s="25">
        <v>0</v>
      </c>
    </row>
    <row r="142" spans="1:14" ht="18.75">
      <c r="A142" s="14"/>
      <c r="B142" s="14" t="s">
        <v>174</v>
      </c>
      <c r="C142" s="15" t="s">
        <v>36</v>
      </c>
      <c r="D142" s="16" t="s">
        <v>172</v>
      </c>
      <c r="E142" s="17">
        <f t="shared" ref="E142:G142" si="98">+E140+E141</f>
        <v>525</v>
      </c>
      <c r="F142" s="17">
        <f t="shared" si="98"/>
        <v>80</v>
      </c>
      <c r="G142" s="17">
        <f t="shared" si="98"/>
        <v>2450</v>
      </c>
      <c r="H142" s="17">
        <f t="shared" ref="H142:N142" si="99">+H140+H141</f>
        <v>750</v>
      </c>
      <c r="I142" s="17">
        <f t="shared" si="99"/>
        <v>2100</v>
      </c>
      <c r="J142" s="17">
        <f t="shared" si="99"/>
        <v>320</v>
      </c>
      <c r="K142" s="17">
        <f t="shared" si="99"/>
        <v>2100</v>
      </c>
      <c r="L142" s="17">
        <f t="shared" si="99"/>
        <v>320</v>
      </c>
      <c r="M142" s="17">
        <f t="shared" si="99"/>
        <v>2100</v>
      </c>
      <c r="N142" s="17">
        <f t="shared" si="99"/>
        <v>320</v>
      </c>
    </row>
    <row r="143" spans="1:14" ht="18.75">
      <c r="A143" s="10">
        <v>6</v>
      </c>
      <c r="B143" s="10"/>
      <c r="C143" s="11"/>
      <c r="D143" s="12" t="s">
        <v>175</v>
      </c>
      <c r="E143" s="29">
        <f>750.5-20</f>
        <v>730.5</v>
      </c>
      <c r="F143" s="25">
        <v>50.3</v>
      </c>
      <c r="G143" s="25">
        <v>3200</v>
      </c>
      <c r="H143" s="25">
        <v>350</v>
      </c>
      <c r="I143" s="25">
        <f t="shared" ref="I143:J145" si="100">ROUND(E143/3*12,2)</f>
        <v>2922</v>
      </c>
      <c r="J143" s="25">
        <f t="shared" si="100"/>
        <v>201.2</v>
      </c>
      <c r="K143" s="25">
        <f>IF(G143&lt;I143,G143,I143)</f>
        <v>2922</v>
      </c>
      <c r="L143" s="25">
        <f>IF(H143&lt;J143,H143,J143)+0.67</f>
        <v>201.86999999999998</v>
      </c>
      <c r="M143" s="25">
        <v>2922</v>
      </c>
      <c r="N143" s="25">
        <v>295</v>
      </c>
    </row>
    <row r="144" spans="1:14" ht="37.5">
      <c r="A144" s="10">
        <v>7</v>
      </c>
      <c r="B144" s="10"/>
      <c r="C144" s="11"/>
      <c r="D144" s="12" t="s">
        <v>176</v>
      </c>
      <c r="E144" s="25">
        <v>0</v>
      </c>
      <c r="F144" s="25">
        <v>0</v>
      </c>
      <c r="G144" s="25"/>
      <c r="H144" s="25"/>
      <c r="I144" s="25">
        <f t="shared" si="100"/>
        <v>0</v>
      </c>
      <c r="J144" s="25">
        <f t="shared" si="100"/>
        <v>0</v>
      </c>
      <c r="K144" s="25">
        <f>IF(G144&lt;I144,G144,I144)</f>
        <v>0</v>
      </c>
      <c r="L144" s="25">
        <f>IF(H144&lt;J144,H144,J144)</f>
        <v>0</v>
      </c>
      <c r="M144" s="25">
        <v>0</v>
      </c>
      <c r="N144" s="25">
        <v>0</v>
      </c>
    </row>
    <row r="145" spans="1:14" ht="37.5">
      <c r="A145" s="10">
        <v>8</v>
      </c>
      <c r="B145" s="10"/>
      <c r="C145" s="11"/>
      <c r="D145" s="12" t="s">
        <v>177</v>
      </c>
      <c r="E145" s="25">
        <v>0</v>
      </c>
      <c r="F145" s="25">
        <v>0</v>
      </c>
      <c r="G145" s="25">
        <v>0</v>
      </c>
      <c r="H145" s="25"/>
      <c r="I145" s="25">
        <f t="shared" si="100"/>
        <v>0</v>
      </c>
      <c r="J145" s="25">
        <f t="shared" si="100"/>
        <v>0</v>
      </c>
      <c r="K145" s="29">
        <f>IF(G145&lt;I145,G145,I145)+4</f>
        <v>4</v>
      </c>
      <c r="L145" s="25">
        <f>IF(H145&lt;J145,H145,J145)</f>
        <v>0</v>
      </c>
      <c r="M145" s="25">
        <f>4+50</f>
        <v>54</v>
      </c>
      <c r="N145" s="25">
        <v>0</v>
      </c>
    </row>
    <row r="146" spans="1:14" ht="18.75">
      <c r="A146" s="14"/>
      <c r="B146" s="14" t="s">
        <v>178</v>
      </c>
      <c r="C146" s="15" t="s">
        <v>66</v>
      </c>
      <c r="D146" s="16" t="s">
        <v>175</v>
      </c>
      <c r="E146" s="17">
        <f t="shared" ref="E146:G146" si="101">+E143+E144+E145</f>
        <v>730.5</v>
      </c>
      <c r="F146" s="17">
        <f t="shared" si="101"/>
        <v>50.3</v>
      </c>
      <c r="G146" s="17">
        <f t="shared" si="101"/>
        <v>3200</v>
      </c>
      <c r="H146" s="17">
        <f t="shared" ref="H146:K146" si="102">+H143+H144+H145</f>
        <v>350</v>
      </c>
      <c r="I146" s="17">
        <f t="shared" si="102"/>
        <v>2922</v>
      </c>
      <c r="J146" s="17">
        <f t="shared" si="102"/>
        <v>201.2</v>
      </c>
      <c r="K146" s="17">
        <f t="shared" si="102"/>
        <v>2926</v>
      </c>
      <c r="L146" s="17">
        <f>+L143+L144+L145</f>
        <v>201.86999999999998</v>
      </c>
      <c r="M146" s="17">
        <f t="shared" ref="M146:N146" si="103">+M143+M144+M145</f>
        <v>2976</v>
      </c>
      <c r="N146" s="17">
        <f t="shared" si="103"/>
        <v>295</v>
      </c>
    </row>
    <row r="147" spans="1:14" ht="18.75">
      <c r="A147" s="10">
        <v>9</v>
      </c>
      <c r="B147" s="10"/>
      <c r="C147" s="11"/>
      <c r="D147" s="12" t="s">
        <v>179</v>
      </c>
      <c r="E147" s="25">
        <v>3900</v>
      </c>
      <c r="F147" s="29">
        <f>5900-900</f>
        <v>5000</v>
      </c>
      <c r="G147" s="25">
        <v>15300</v>
      </c>
      <c r="H147" s="25">
        <v>19000</v>
      </c>
      <c r="I147" s="25">
        <f t="shared" ref="I147:I155" si="104">ROUND(E147/3*12,2)</f>
        <v>15600</v>
      </c>
      <c r="J147" s="25">
        <f t="shared" ref="J147:J155" si="105">ROUND(F147/3*12,2)</f>
        <v>20000</v>
      </c>
      <c r="K147" s="25">
        <f t="shared" ref="K147:K155" si="106">IF(G147&lt;I147,G147,I147)</f>
        <v>15300</v>
      </c>
      <c r="L147" s="25">
        <f t="shared" ref="L147:L155" si="107">IF(H147&lt;J147,H147,J147)</f>
        <v>19000</v>
      </c>
      <c r="M147" s="25">
        <f t="shared" ref="M147:M155" si="108">IF(I147&lt;K147,I147,K147)</f>
        <v>15300</v>
      </c>
      <c r="N147" s="25">
        <f t="shared" ref="N147:N155" si="109">IF(J147&lt;L147,J147,L147)</f>
        <v>19000</v>
      </c>
    </row>
    <row r="148" spans="1:14" ht="37.5">
      <c r="A148" s="10">
        <v>10</v>
      </c>
      <c r="B148" s="10"/>
      <c r="C148" s="11"/>
      <c r="D148" s="12" t="s">
        <v>180</v>
      </c>
      <c r="E148" s="25"/>
      <c r="F148" s="25"/>
      <c r="G148" s="25"/>
      <c r="H148" s="25"/>
      <c r="I148" s="25">
        <f t="shared" si="104"/>
        <v>0</v>
      </c>
      <c r="J148" s="25">
        <f t="shared" si="105"/>
        <v>0</v>
      </c>
      <c r="K148" s="25">
        <f t="shared" si="106"/>
        <v>0</v>
      </c>
      <c r="L148" s="25">
        <f t="shared" si="107"/>
        <v>0</v>
      </c>
      <c r="M148" s="25">
        <f t="shared" si="108"/>
        <v>0</v>
      </c>
      <c r="N148" s="25">
        <f t="shared" si="109"/>
        <v>0</v>
      </c>
    </row>
    <row r="149" spans="1:14" ht="37.5">
      <c r="A149" s="10">
        <v>11</v>
      </c>
      <c r="B149" s="10"/>
      <c r="C149" s="11"/>
      <c r="D149" s="12" t="s">
        <v>181</v>
      </c>
      <c r="E149" s="25"/>
      <c r="F149" s="25"/>
      <c r="G149" s="25"/>
      <c r="H149" s="25"/>
      <c r="I149" s="25">
        <f t="shared" si="104"/>
        <v>0</v>
      </c>
      <c r="J149" s="25">
        <f t="shared" si="105"/>
        <v>0</v>
      </c>
      <c r="K149" s="25">
        <f t="shared" si="106"/>
        <v>0</v>
      </c>
      <c r="L149" s="25">
        <f t="shared" si="107"/>
        <v>0</v>
      </c>
      <c r="M149" s="25">
        <f t="shared" si="108"/>
        <v>0</v>
      </c>
      <c r="N149" s="25">
        <f t="shared" si="109"/>
        <v>0</v>
      </c>
    </row>
    <row r="150" spans="1:14" ht="37.5">
      <c r="A150" s="10">
        <v>12</v>
      </c>
      <c r="B150" s="10"/>
      <c r="C150" s="11"/>
      <c r="D150" s="12" t="s">
        <v>182</v>
      </c>
      <c r="E150" s="25"/>
      <c r="F150" s="25"/>
      <c r="G150" s="25"/>
      <c r="H150" s="25"/>
      <c r="I150" s="25">
        <f t="shared" si="104"/>
        <v>0</v>
      </c>
      <c r="J150" s="25">
        <f t="shared" si="105"/>
        <v>0</v>
      </c>
      <c r="K150" s="25">
        <f t="shared" si="106"/>
        <v>0</v>
      </c>
      <c r="L150" s="25">
        <f t="shared" si="107"/>
        <v>0</v>
      </c>
      <c r="M150" s="25">
        <f t="shared" si="108"/>
        <v>0</v>
      </c>
      <c r="N150" s="25">
        <f t="shared" si="109"/>
        <v>0</v>
      </c>
    </row>
    <row r="151" spans="1:14" ht="18.75">
      <c r="A151" s="10">
        <v>13</v>
      </c>
      <c r="B151" s="10"/>
      <c r="C151" s="11"/>
      <c r="D151" s="12" t="s">
        <v>183</v>
      </c>
      <c r="E151" s="25"/>
      <c r="F151" s="25"/>
      <c r="G151" s="25"/>
      <c r="H151" s="25"/>
      <c r="I151" s="25">
        <f t="shared" si="104"/>
        <v>0</v>
      </c>
      <c r="J151" s="25">
        <f t="shared" si="105"/>
        <v>0</v>
      </c>
      <c r="K151" s="25">
        <f t="shared" si="106"/>
        <v>0</v>
      </c>
      <c r="L151" s="25">
        <f t="shared" si="107"/>
        <v>0</v>
      </c>
      <c r="M151" s="25">
        <f t="shared" si="108"/>
        <v>0</v>
      </c>
      <c r="N151" s="25">
        <f t="shared" si="109"/>
        <v>0</v>
      </c>
    </row>
    <row r="152" spans="1:14" ht="18.75">
      <c r="A152" s="10">
        <v>14</v>
      </c>
      <c r="B152" s="10"/>
      <c r="C152" s="11"/>
      <c r="D152" s="12" t="s">
        <v>184</v>
      </c>
      <c r="E152" s="25"/>
      <c r="F152" s="25"/>
      <c r="G152" s="25"/>
      <c r="H152" s="25"/>
      <c r="I152" s="25">
        <f t="shared" si="104"/>
        <v>0</v>
      </c>
      <c r="J152" s="25">
        <f t="shared" si="105"/>
        <v>0</v>
      </c>
      <c r="K152" s="25">
        <f t="shared" si="106"/>
        <v>0</v>
      </c>
      <c r="L152" s="25">
        <f t="shared" si="107"/>
        <v>0</v>
      </c>
      <c r="M152" s="25">
        <f t="shared" si="108"/>
        <v>0</v>
      </c>
      <c r="N152" s="25">
        <f t="shared" si="109"/>
        <v>0</v>
      </c>
    </row>
    <row r="153" spans="1:14" ht="18.75">
      <c r="A153" s="10">
        <v>15</v>
      </c>
      <c r="B153" s="10"/>
      <c r="C153" s="11"/>
      <c r="D153" s="12" t="s">
        <v>185</v>
      </c>
      <c r="E153" s="25"/>
      <c r="F153" s="25"/>
      <c r="G153" s="25"/>
      <c r="H153" s="25"/>
      <c r="I153" s="25">
        <f t="shared" si="104"/>
        <v>0</v>
      </c>
      <c r="J153" s="25">
        <f t="shared" si="105"/>
        <v>0</v>
      </c>
      <c r="K153" s="25">
        <f t="shared" si="106"/>
        <v>0</v>
      </c>
      <c r="L153" s="25">
        <f t="shared" si="107"/>
        <v>0</v>
      </c>
      <c r="M153" s="25">
        <f t="shared" si="108"/>
        <v>0</v>
      </c>
      <c r="N153" s="25">
        <f t="shared" si="109"/>
        <v>0</v>
      </c>
    </row>
    <row r="154" spans="1:14" ht="18.75">
      <c r="A154" s="10">
        <v>16</v>
      </c>
      <c r="B154" s="10"/>
      <c r="C154" s="11"/>
      <c r="D154" s="12" t="s">
        <v>186</v>
      </c>
      <c r="E154" s="25"/>
      <c r="F154" s="25"/>
      <c r="G154" s="25"/>
      <c r="H154" s="25"/>
      <c r="I154" s="25">
        <f t="shared" si="104"/>
        <v>0</v>
      </c>
      <c r="J154" s="25">
        <f t="shared" si="105"/>
        <v>0</v>
      </c>
      <c r="K154" s="25">
        <f t="shared" si="106"/>
        <v>0</v>
      </c>
      <c r="L154" s="25">
        <f t="shared" si="107"/>
        <v>0</v>
      </c>
      <c r="M154" s="25">
        <f t="shared" si="108"/>
        <v>0</v>
      </c>
      <c r="N154" s="25">
        <f t="shared" si="109"/>
        <v>0</v>
      </c>
    </row>
    <row r="155" spans="1:14" ht="18.75">
      <c r="A155" s="10">
        <v>17</v>
      </c>
      <c r="B155" s="10"/>
      <c r="C155" s="11"/>
      <c r="D155" s="12" t="s">
        <v>187</v>
      </c>
      <c r="E155" s="25"/>
      <c r="F155" s="25"/>
      <c r="G155" s="25"/>
      <c r="H155" s="25"/>
      <c r="I155" s="25">
        <f t="shared" si="104"/>
        <v>0</v>
      </c>
      <c r="J155" s="25">
        <f t="shared" si="105"/>
        <v>0</v>
      </c>
      <c r="K155" s="25">
        <f t="shared" si="106"/>
        <v>0</v>
      </c>
      <c r="L155" s="25">
        <f t="shared" si="107"/>
        <v>0</v>
      </c>
      <c r="M155" s="25">
        <f t="shared" si="108"/>
        <v>0</v>
      </c>
      <c r="N155" s="25">
        <f t="shared" si="109"/>
        <v>0</v>
      </c>
    </row>
    <row r="156" spans="1:14" ht="18.75">
      <c r="A156" s="14"/>
      <c r="B156" s="14" t="s">
        <v>188</v>
      </c>
      <c r="C156" s="15" t="s">
        <v>36</v>
      </c>
      <c r="D156" s="16" t="s">
        <v>179</v>
      </c>
      <c r="E156" s="17">
        <f t="shared" ref="E156:G156" si="110">+E147+E148+E150+E149+E151+E152+E153+E154+E155</f>
        <v>3900</v>
      </c>
      <c r="F156" s="17">
        <f t="shared" si="110"/>
        <v>5000</v>
      </c>
      <c r="G156" s="17">
        <f t="shared" si="110"/>
        <v>15300</v>
      </c>
      <c r="H156" s="17">
        <f t="shared" ref="H156:N156" si="111">+H147+H148+H150+H149+H151+H152+H153+H154+H155</f>
        <v>19000</v>
      </c>
      <c r="I156" s="17">
        <f t="shared" si="111"/>
        <v>15600</v>
      </c>
      <c r="J156" s="17">
        <f t="shared" si="111"/>
        <v>20000</v>
      </c>
      <c r="K156" s="17">
        <f t="shared" si="111"/>
        <v>15300</v>
      </c>
      <c r="L156" s="17">
        <f t="shared" si="111"/>
        <v>19000</v>
      </c>
      <c r="M156" s="17">
        <f t="shared" si="111"/>
        <v>15300</v>
      </c>
      <c r="N156" s="17">
        <f t="shared" si="111"/>
        <v>19000</v>
      </c>
    </row>
    <row r="157" spans="1:14" ht="18.75">
      <c r="A157" s="14">
        <v>18</v>
      </c>
      <c r="B157" s="14" t="s">
        <v>189</v>
      </c>
      <c r="C157" s="15" t="s">
        <v>73</v>
      </c>
      <c r="D157" s="16" t="s">
        <v>190</v>
      </c>
      <c r="E157" s="25">
        <v>230</v>
      </c>
      <c r="F157" s="25">
        <v>0</v>
      </c>
      <c r="G157" s="25">
        <v>920</v>
      </c>
      <c r="H157" s="29">
        <v>120</v>
      </c>
      <c r="I157" s="25">
        <f t="shared" ref="I157:J159" si="112">ROUND(E157/3*12,2)</f>
        <v>920</v>
      </c>
      <c r="J157" s="25">
        <f t="shared" si="112"/>
        <v>0</v>
      </c>
      <c r="K157" s="25">
        <f>IF(G157&lt;I157,G157,I157)</f>
        <v>920</v>
      </c>
      <c r="L157" s="32">
        <f>IF(H157&lt;J157,H157,J157)+120</f>
        <v>120</v>
      </c>
      <c r="M157" s="25">
        <v>920</v>
      </c>
      <c r="N157" s="25">
        <v>120</v>
      </c>
    </row>
    <row r="158" spans="1:14" ht="18.75">
      <c r="A158" s="10">
        <v>19</v>
      </c>
      <c r="B158" s="10"/>
      <c r="C158" s="11"/>
      <c r="D158" s="12" t="s">
        <v>191</v>
      </c>
      <c r="E158" s="25">
        <v>300</v>
      </c>
      <c r="F158" s="29">
        <f>135-50</f>
        <v>85</v>
      </c>
      <c r="G158" s="25">
        <v>1200</v>
      </c>
      <c r="H158" s="25">
        <v>250</v>
      </c>
      <c r="I158" s="25">
        <f t="shared" si="112"/>
        <v>1200</v>
      </c>
      <c r="J158" s="25">
        <f t="shared" si="112"/>
        <v>340</v>
      </c>
      <c r="K158" s="25">
        <f>IF(G158&lt;I158,G158,I158)</f>
        <v>1200</v>
      </c>
      <c r="L158" s="25">
        <f t="shared" ref="L158:N159" si="113">IF(H158&lt;J158,H158,J158)</f>
        <v>250</v>
      </c>
      <c r="M158" s="25">
        <f t="shared" si="113"/>
        <v>1200</v>
      </c>
      <c r="N158" s="25">
        <f t="shared" si="113"/>
        <v>250</v>
      </c>
    </row>
    <row r="159" spans="1:14" ht="37.5">
      <c r="A159" s="10">
        <v>20</v>
      </c>
      <c r="B159" s="10"/>
      <c r="C159" s="11"/>
      <c r="D159" s="12" t="s">
        <v>192</v>
      </c>
      <c r="E159" s="25">
        <v>0</v>
      </c>
      <c r="F159" s="25">
        <v>0</v>
      </c>
      <c r="G159" s="25"/>
      <c r="H159" s="25"/>
      <c r="I159" s="25">
        <f t="shared" si="112"/>
        <v>0</v>
      </c>
      <c r="J159" s="25">
        <f t="shared" si="112"/>
        <v>0</v>
      </c>
      <c r="K159" s="25">
        <f>IF(G159&lt;I159,G159,I159)</f>
        <v>0</v>
      </c>
      <c r="L159" s="25">
        <f t="shared" si="113"/>
        <v>0</v>
      </c>
      <c r="M159" s="25">
        <f t="shared" si="113"/>
        <v>0</v>
      </c>
      <c r="N159" s="25">
        <f t="shared" si="113"/>
        <v>0</v>
      </c>
    </row>
    <row r="160" spans="1:14" ht="18.75">
      <c r="A160" s="14"/>
      <c r="B160" s="14" t="s">
        <v>193</v>
      </c>
      <c r="C160" s="15" t="s">
        <v>92</v>
      </c>
      <c r="D160" s="16" t="s">
        <v>191</v>
      </c>
      <c r="E160" s="17">
        <f t="shared" ref="E160:H160" si="114">+E159+E158</f>
        <v>300</v>
      </c>
      <c r="F160" s="17">
        <f t="shared" si="114"/>
        <v>85</v>
      </c>
      <c r="G160" s="17">
        <f t="shared" si="114"/>
        <v>1200</v>
      </c>
      <c r="H160" s="17">
        <f t="shared" si="114"/>
        <v>250</v>
      </c>
      <c r="I160" s="17">
        <f t="shared" ref="I160:N160" si="115">+I159+I158</f>
        <v>1200</v>
      </c>
      <c r="J160" s="17">
        <f t="shared" si="115"/>
        <v>340</v>
      </c>
      <c r="K160" s="17">
        <f t="shared" si="115"/>
        <v>1200</v>
      </c>
      <c r="L160" s="17">
        <f t="shared" si="115"/>
        <v>250</v>
      </c>
      <c r="M160" s="17">
        <f t="shared" si="115"/>
        <v>1200</v>
      </c>
      <c r="N160" s="17">
        <f t="shared" si="115"/>
        <v>250</v>
      </c>
    </row>
    <row r="161" spans="1:14" ht="18.75">
      <c r="A161" s="14">
        <v>21</v>
      </c>
      <c r="B161" s="14" t="s">
        <v>194</v>
      </c>
      <c r="C161" s="15" t="s">
        <v>92</v>
      </c>
      <c r="D161" s="16" t="s">
        <v>195</v>
      </c>
      <c r="E161" s="25">
        <v>2200</v>
      </c>
      <c r="F161" s="29">
        <f>3000-400</f>
        <v>2600</v>
      </c>
      <c r="G161" s="25">
        <v>9959.5</v>
      </c>
      <c r="H161" s="25">
        <v>11230</v>
      </c>
      <c r="I161" s="25">
        <f t="shared" ref="I161:J163" si="116">ROUND(E161/3*12,2)</f>
        <v>8800</v>
      </c>
      <c r="J161" s="25">
        <f t="shared" si="116"/>
        <v>10400</v>
      </c>
      <c r="K161" s="25">
        <v>8800</v>
      </c>
      <c r="L161" s="25">
        <v>10400</v>
      </c>
      <c r="M161" s="25">
        <v>8800</v>
      </c>
      <c r="N161" s="25">
        <v>10400</v>
      </c>
    </row>
    <row r="162" spans="1:14" ht="18.75">
      <c r="A162" s="10">
        <v>22</v>
      </c>
      <c r="B162" s="10"/>
      <c r="C162" s="11"/>
      <c r="D162" s="12" t="s">
        <v>196</v>
      </c>
      <c r="E162" s="25">
        <v>420</v>
      </c>
      <c r="F162" s="25">
        <v>3</v>
      </c>
      <c r="G162" s="25">
        <v>1750</v>
      </c>
      <c r="H162" s="25">
        <v>30</v>
      </c>
      <c r="I162" s="25">
        <f t="shared" si="116"/>
        <v>1680</v>
      </c>
      <c r="J162" s="25">
        <f t="shared" si="116"/>
        <v>12</v>
      </c>
      <c r="K162" s="25">
        <f t="shared" ref="K162:M163" si="117">IF(G162&lt;I162,G162,I162)</f>
        <v>1680</v>
      </c>
      <c r="L162" s="25">
        <f t="shared" si="117"/>
        <v>12</v>
      </c>
      <c r="M162" s="25">
        <f t="shared" si="117"/>
        <v>1680</v>
      </c>
      <c r="N162" s="25">
        <v>42</v>
      </c>
    </row>
    <row r="163" spans="1:14" ht="37.5">
      <c r="A163" s="10">
        <v>23</v>
      </c>
      <c r="B163" s="10"/>
      <c r="C163" s="11"/>
      <c r="D163" s="12" t="s">
        <v>197</v>
      </c>
      <c r="E163" s="25">
        <v>0</v>
      </c>
      <c r="F163" s="25">
        <v>0</v>
      </c>
      <c r="G163" s="25"/>
      <c r="H163" s="25"/>
      <c r="I163" s="25">
        <f t="shared" si="116"/>
        <v>0</v>
      </c>
      <c r="J163" s="25">
        <f t="shared" si="116"/>
        <v>0</v>
      </c>
      <c r="K163" s="25">
        <f t="shared" si="117"/>
        <v>0</v>
      </c>
      <c r="L163" s="25">
        <f t="shared" si="117"/>
        <v>0</v>
      </c>
      <c r="M163" s="25">
        <f t="shared" si="117"/>
        <v>0</v>
      </c>
      <c r="N163" s="25">
        <v>0</v>
      </c>
    </row>
    <row r="164" spans="1:14" ht="18.75">
      <c r="A164" s="14"/>
      <c r="B164" s="14" t="s">
        <v>198</v>
      </c>
      <c r="C164" s="15" t="s">
        <v>77</v>
      </c>
      <c r="D164" s="16" t="s">
        <v>196</v>
      </c>
      <c r="E164" s="17">
        <f t="shared" ref="E164:H164" si="118">+E162+E163</f>
        <v>420</v>
      </c>
      <c r="F164" s="17">
        <f t="shared" si="118"/>
        <v>3</v>
      </c>
      <c r="G164" s="17">
        <f t="shared" si="118"/>
        <v>1750</v>
      </c>
      <c r="H164" s="17">
        <f t="shared" si="118"/>
        <v>30</v>
      </c>
      <c r="I164" s="17">
        <f t="shared" ref="I164:N164" si="119">+I162+I163</f>
        <v>1680</v>
      </c>
      <c r="J164" s="17">
        <f t="shared" si="119"/>
        <v>12</v>
      </c>
      <c r="K164" s="17">
        <f t="shared" si="119"/>
        <v>1680</v>
      </c>
      <c r="L164" s="17">
        <f t="shared" si="119"/>
        <v>12</v>
      </c>
      <c r="M164" s="17">
        <f t="shared" si="119"/>
        <v>1680</v>
      </c>
      <c r="N164" s="17">
        <f t="shared" si="119"/>
        <v>42</v>
      </c>
    </row>
    <row r="165" spans="1:14" ht="18.75">
      <c r="A165" s="14">
        <v>24</v>
      </c>
      <c r="B165" s="14" t="s">
        <v>199</v>
      </c>
      <c r="C165" s="15" t="s">
        <v>66</v>
      </c>
      <c r="D165" s="16" t="s">
        <v>200</v>
      </c>
      <c r="E165" s="25">
        <v>240</v>
      </c>
      <c r="F165" s="29">
        <f>48-5</f>
        <v>43</v>
      </c>
      <c r="G165" s="25">
        <v>800</v>
      </c>
      <c r="H165" s="25">
        <v>100</v>
      </c>
      <c r="I165" s="25">
        <f t="shared" ref="I165:J167" si="120">ROUND(E165/3*12,2)</f>
        <v>960</v>
      </c>
      <c r="J165" s="25">
        <f t="shared" si="120"/>
        <v>172</v>
      </c>
      <c r="K165" s="25">
        <f>IF(G165&lt;I165,G165,I165)</f>
        <v>800</v>
      </c>
      <c r="L165" s="25">
        <f>IF(H165&lt;J165,H165,J165)</f>
        <v>100</v>
      </c>
      <c r="M165" s="25">
        <f>IF(I165&lt;K165,I165,K165)</f>
        <v>800</v>
      </c>
      <c r="N165" s="25">
        <f>IF(J165&lt;L165,J165,L165)</f>
        <v>100</v>
      </c>
    </row>
    <row r="166" spans="1:14" ht="18.75">
      <c r="A166" s="10">
        <v>25</v>
      </c>
      <c r="B166" s="10"/>
      <c r="C166" s="11"/>
      <c r="D166" s="16" t="s">
        <v>201</v>
      </c>
      <c r="E166" s="25">
        <v>311</v>
      </c>
      <c r="F166" s="25">
        <v>15</v>
      </c>
      <c r="G166" s="25">
        <v>1220</v>
      </c>
      <c r="H166" s="25">
        <v>65</v>
      </c>
      <c r="I166" s="25">
        <f t="shared" si="120"/>
        <v>1244</v>
      </c>
      <c r="J166" s="25">
        <f t="shared" si="120"/>
        <v>60</v>
      </c>
      <c r="K166" s="25">
        <f>IF(G166&lt;I166,G166,I166)</f>
        <v>1220</v>
      </c>
      <c r="L166" s="25">
        <f>IF(H166&lt;J166,H166,J166)</f>
        <v>60</v>
      </c>
      <c r="M166" s="25">
        <v>1255</v>
      </c>
      <c r="N166" s="25">
        <v>25</v>
      </c>
    </row>
    <row r="167" spans="1:14" ht="37.5">
      <c r="A167" s="14">
        <v>26</v>
      </c>
      <c r="B167" s="14"/>
      <c r="C167" s="15"/>
      <c r="D167" s="16" t="s">
        <v>202</v>
      </c>
      <c r="E167" s="25">
        <v>0</v>
      </c>
      <c r="F167" s="25">
        <v>0</v>
      </c>
      <c r="G167" s="25"/>
      <c r="H167" s="25"/>
      <c r="I167" s="25">
        <f t="shared" si="120"/>
        <v>0</v>
      </c>
      <c r="J167" s="25">
        <f t="shared" si="120"/>
        <v>0</v>
      </c>
      <c r="K167" s="25">
        <f>IF(G167&lt;I167,G167,I167)</f>
        <v>0</v>
      </c>
      <c r="L167" s="25">
        <f>IF(H167&lt;J167,H167,J167)</f>
        <v>0</v>
      </c>
      <c r="M167" s="25">
        <f>IF(I167&lt;K167,I167,K167)</f>
        <v>0</v>
      </c>
      <c r="N167" s="25">
        <f>IF(J167&lt;L167,J167,L167)</f>
        <v>0</v>
      </c>
    </row>
    <row r="168" spans="1:14" ht="18.75">
      <c r="A168" s="14"/>
      <c r="B168" s="14" t="s">
        <v>203</v>
      </c>
      <c r="C168" s="15" t="s">
        <v>92</v>
      </c>
      <c r="D168" s="16" t="s">
        <v>201</v>
      </c>
      <c r="E168" s="17">
        <f t="shared" ref="E168:H168" si="121">+E166+E167</f>
        <v>311</v>
      </c>
      <c r="F168" s="17">
        <f t="shared" si="121"/>
        <v>15</v>
      </c>
      <c r="G168" s="17">
        <f t="shared" si="121"/>
        <v>1220</v>
      </c>
      <c r="H168" s="17">
        <f t="shared" si="121"/>
        <v>65</v>
      </c>
      <c r="I168" s="17">
        <f t="shared" ref="I168:N168" si="122">+I166+I167</f>
        <v>1244</v>
      </c>
      <c r="J168" s="17">
        <f t="shared" si="122"/>
        <v>60</v>
      </c>
      <c r="K168" s="17">
        <f t="shared" si="122"/>
        <v>1220</v>
      </c>
      <c r="L168" s="17">
        <f t="shared" si="122"/>
        <v>60</v>
      </c>
      <c r="M168" s="17">
        <f t="shared" si="122"/>
        <v>1255</v>
      </c>
      <c r="N168" s="17">
        <f t="shared" si="122"/>
        <v>25</v>
      </c>
    </row>
    <row r="169" spans="1:14" ht="18.75">
      <c r="A169" s="14">
        <v>27</v>
      </c>
      <c r="B169" s="14" t="s">
        <v>204</v>
      </c>
      <c r="C169" s="15" t="s">
        <v>69</v>
      </c>
      <c r="D169" s="16" t="s">
        <v>205</v>
      </c>
      <c r="E169" s="25">
        <v>212</v>
      </c>
      <c r="F169" s="25">
        <v>1</v>
      </c>
      <c r="G169" s="25">
        <v>720</v>
      </c>
      <c r="H169" s="25">
        <v>30</v>
      </c>
      <c r="I169" s="25">
        <f t="shared" ref="I169:J173" si="123">ROUND(E169/3*12,2)</f>
        <v>848</v>
      </c>
      <c r="J169" s="25">
        <f t="shared" si="123"/>
        <v>4</v>
      </c>
      <c r="K169" s="25">
        <f>IF(G169&lt;I169,G169,I169)</f>
        <v>720</v>
      </c>
      <c r="L169" s="25">
        <f>IF(H169&lt;J169,H169,J169)</f>
        <v>4</v>
      </c>
      <c r="M169" s="25">
        <v>890</v>
      </c>
      <c r="N169" s="25">
        <v>2</v>
      </c>
    </row>
    <row r="170" spans="1:14" ht="18.75">
      <c r="A170" s="14">
        <v>28</v>
      </c>
      <c r="B170" s="14" t="s">
        <v>206</v>
      </c>
      <c r="C170" s="15" t="s">
        <v>207</v>
      </c>
      <c r="D170" s="16" t="s">
        <v>208</v>
      </c>
      <c r="E170" s="25">
        <v>100.47</v>
      </c>
      <c r="F170" s="29">
        <f>18.49-10</f>
        <v>8.4899999999999984</v>
      </c>
      <c r="G170" s="25">
        <v>490</v>
      </c>
      <c r="H170" s="25">
        <v>8.94</v>
      </c>
      <c r="I170" s="25">
        <f t="shared" si="123"/>
        <v>401.88</v>
      </c>
      <c r="J170" s="25">
        <f t="shared" si="123"/>
        <v>33.96</v>
      </c>
      <c r="K170" s="25">
        <f>IF(G170&lt;I170,G170,I170)</f>
        <v>401.88</v>
      </c>
      <c r="L170" s="25">
        <f>IF(H170&lt;J170,H170,J170)</f>
        <v>8.94</v>
      </c>
      <c r="M170" s="25">
        <v>411.9</v>
      </c>
      <c r="N170" s="25">
        <v>18.489999999999998</v>
      </c>
    </row>
    <row r="171" spans="1:14" ht="18.75">
      <c r="A171" s="14">
        <v>29</v>
      </c>
      <c r="B171" s="14"/>
      <c r="C171" s="15"/>
      <c r="D171" s="16" t="s">
        <v>209</v>
      </c>
      <c r="E171" s="25">
        <v>231</v>
      </c>
      <c r="F171" s="25">
        <v>30</v>
      </c>
      <c r="G171" s="25">
        <v>650</v>
      </c>
      <c r="H171" s="33"/>
      <c r="I171" s="25">
        <f t="shared" si="123"/>
        <v>924</v>
      </c>
      <c r="J171" s="25">
        <f t="shared" si="123"/>
        <v>120</v>
      </c>
      <c r="K171" s="25">
        <f>IF(G171&lt;I171,G171,I171)</f>
        <v>650</v>
      </c>
      <c r="L171" s="25">
        <f>IF(H171&lt;J171,H171,J171)+30</f>
        <v>30</v>
      </c>
      <c r="M171" s="25">
        <f>IF(I171&lt;K171,I171,K171)</f>
        <v>650</v>
      </c>
      <c r="N171" s="25">
        <f>IF(J171&lt;L171,J171,L171)+30</f>
        <v>60</v>
      </c>
    </row>
    <row r="172" spans="1:14" ht="18.75">
      <c r="A172" s="10">
        <v>30</v>
      </c>
      <c r="B172" s="10"/>
      <c r="C172" s="11"/>
      <c r="D172" s="12" t="s">
        <v>210</v>
      </c>
      <c r="E172" s="25">
        <v>30</v>
      </c>
      <c r="F172" s="25">
        <v>0</v>
      </c>
      <c r="G172" s="25">
        <v>115</v>
      </c>
      <c r="H172" s="25"/>
      <c r="I172" s="25">
        <f t="shared" si="123"/>
        <v>120</v>
      </c>
      <c r="J172" s="25">
        <f t="shared" si="123"/>
        <v>0</v>
      </c>
      <c r="K172" s="25">
        <f>IF(G172&lt;I172,G172,I172)</f>
        <v>115</v>
      </c>
      <c r="L172" s="25">
        <f>IF(H172&lt;J172,H172,J172)</f>
        <v>0</v>
      </c>
      <c r="M172" s="25">
        <f>IF(I172&lt;K172,I172,K172)</f>
        <v>115</v>
      </c>
      <c r="N172" s="25">
        <f>IF(J172&lt;L172,J172,L172)</f>
        <v>0</v>
      </c>
    </row>
    <row r="173" spans="1:14" ht="18.75">
      <c r="A173" s="10">
        <v>31</v>
      </c>
      <c r="B173" s="10"/>
      <c r="C173" s="11"/>
      <c r="D173" s="12" t="s">
        <v>211</v>
      </c>
      <c r="E173" s="25">
        <v>0</v>
      </c>
      <c r="F173" s="25">
        <v>0</v>
      </c>
      <c r="G173" s="25"/>
      <c r="H173" s="25"/>
      <c r="I173" s="25">
        <f t="shared" si="123"/>
        <v>0</v>
      </c>
      <c r="J173" s="25">
        <f t="shared" si="123"/>
        <v>0</v>
      </c>
      <c r="K173" s="25">
        <f>IF(G173&lt;I173,G173,I173)</f>
        <v>0</v>
      </c>
      <c r="L173" s="25">
        <f>IF(H173&lt;J173,H173,J173)</f>
        <v>0</v>
      </c>
      <c r="M173" s="25">
        <f>IF(I173&lt;K173,I173,K173)</f>
        <v>0</v>
      </c>
      <c r="N173" s="25">
        <f>IF(J173&lt;L173,J173,L173)</f>
        <v>0</v>
      </c>
    </row>
    <row r="174" spans="1:14" ht="18.75">
      <c r="A174" s="14"/>
      <c r="B174" s="14" t="s">
        <v>212</v>
      </c>
      <c r="C174" s="15" t="s">
        <v>213</v>
      </c>
      <c r="D174" s="16" t="s">
        <v>209</v>
      </c>
      <c r="E174" s="17">
        <f t="shared" ref="E174:G174" si="124">+E171+E172+E173</f>
        <v>261</v>
      </c>
      <c r="F174" s="17">
        <f t="shared" si="124"/>
        <v>30</v>
      </c>
      <c r="G174" s="17">
        <f t="shared" si="124"/>
        <v>765</v>
      </c>
      <c r="H174" s="17">
        <f t="shared" ref="H174:N174" si="125">+H171+H172+H173</f>
        <v>0</v>
      </c>
      <c r="I174" s="17">
        <f t="shared" si="125"/>
        <v>1044</v>
      </c>
      <c r="J174" s="17">
        <f t="shared" si="125"/>
        <v>120</v>
      </c>
      <c r="K174" s="17">
        <f t="shared" si="125"/>
        <v>765</v>
      </c>
      <c r="L174" s="17">
        <f t="shared" si="125"/>
        <v>30</v>
      </c>
      <c r="M174" s="17">
        <f t="shared" si="125"/>
        <v>765</v>
      </c>
      <c r="N174" s="17">
        <f t="shared" si="125"/>
        <v>60</v>
      </c>
    </row>
    <row r="175" spans="1:14" ht="18.75">
      <c r="A175" s="14">
        <v>32</v>
      </c>
      <c r="B175" s="14" t="s">
        <v>214</v>
      </c>
      <c r="C175" s="15" t="s">
        <v>215</v>
      </c>
      <c r="D175" s="16" t="s">
        <v>216</v>
      </c>
      <c r="E175" s="25">
        <v>122</v>
      </c>
      <c r="F175" s="25">
        <v>19</v>
      </c>
      <c r="G175" s="25">
        <v>460</v>
      </c>
      <c r="H175" s="25"/>
      <c r="I175" s="25">
        <f t="shared" ref="I175:J178" si="126">ROUND(E175/3*12,2)</f>
        <v>488</v>
      </c>
      <c r="J175" s="25">
        <f t="shared" si="126"/>
        <v>76</v>
      </c>
      <c r="K175" s="25">
        <f>IF(G175&lt;I175,G175,I175)</f>
        <v>460</v>
      </c>
      <c r="L175" s="25">
        <f>IF(H175&lt;J175,H175,J175)+19</f>
        <v>19</v>
      </c>
      <c r="M175" s="25">
        <v>470</v>
      </c>
      <c r="N175" s="25">
        <v>19.07</v>
      </c>
    </row>
    <row r="176" spans="1:14" ht="18.75">
      <c r="A176" s="14">
        <v>33</v>
      </c>
      <c r="B176" s="14" t="s">
        <v>217</v>
      </c>
      <c r="C176" s="15" t="s">
        <v>77</v>
      </c>
      <c r="D176" s="16" t="s">
        <v>218</v>
      </c>
      <c r="E176" s="25">
        <v>240</v>
      </c>
      <c r="F176" s="25">
        <v>2</v>
      </c>
      <c r="G176" s="25">
        <v>750</v>
      </c>
      <c r="H176" s="25">
        <v>0</v>
      </c>
      <c r="I176" s="25">
        <f t="shared" si="126"/>
        <v>960</v>
      </c>
      <c r="J176" s="25">
        <f t="shared" si="126"/>
        <v>8</v>
      </c>
      <c r="K176" s="25">
        <f>IF(G176&lt;I176,G176,I176)</f>
        <v>750</v>
      </c>
      <c r="L176" s="25">
        <f>IF(H176&lt;J176,H176,J176)+75</f>
        <v>75</v>
      </c>
      <c r="M176" s="25">
        <f>IF(I176&lt;K176,I176,K176)</f>
        <v>750</v>
      </c>
      <c r="N176" s="25">
        <f>IF(J176&lt;L176,J176,L176)+75</f>
        <v>83</v>
      </c>
    </row>
    <row r="177" spans="1:14" ht="18.75">
      <c r="A177" s="10">
        <v>34</v>
      </c>
      <c r="B177" s="10"/>
      <c r="C177" s="11"/>
      <c r="D177" s="12" t="s">
        <v>219</v>
      </c>
      <c r="E177" s="25">
        <v>236</v>
      </c>
      <c r="F177" s="29">
        <f>54-10-10</f>
        <v>34</v>
      </c>
      <c r="G177" s="25">
        <v>950</v>
      </c>
      <c r="H177" s="25">
        <f>35+22</f>
        <v>57</v>
      </c>
      <c r="I177" s="25">
        <f t="shared" si="126"/>
        <v>944</v>
      </c>
      <c r="J177" s="25">
        <f t="shared" si="126"/>
        <v>136</v>
      </c>
      <c r="K177" s="25">
        <f>IF(G177&lt;I177,G177,I177)</f>
        <v>944</v>
      </c>
      <c r="L177" s="25">
        <f>IF(H177&lt;J177,H177,J177)</f>
        <v>57</v>
      </c>
      <c r="M177" s="25">
        <v>920</v>
      </c>
      <c r="N177" s="25">
        <v>350</v>
      </c>
    </row>
    <row r="178" spans="1:14" ht="18.75">
      <c r="A178" s="10">
        <v>35</v>
      </c>
      <c r="B178" s="10"/>
      <c r="C178" s="11"/>
      <c r="D178" s="12" t="s">
        <v>220</v>
      </c>
      <c r="E178" s="25">
        <v>28</v>
      </c>
      <c r="F178" s="25">
        <v>0</v>
      </c>
      <c r="G178" s="25">
        <v>117.3</v>
      </c>
      <c r="H178" s="25"/>
      <c r="I178" s="25">
        <f t="shared" si="126"/>
        <v>112</v>
      </c>
      <c r="J178" s="25">
        <f t="shared" si="126"/>
        <v>0</v>
      </c>
      <c r="K178" s="25">
        <f>IF(G178&lt;I178,G178,I178)</f>
        <v>112</v>
      </c>
      <c r="L178" s="25">
        <f>IF(H178&lt;J178,H178,J178)</f>
        <v>0</v>
      </c>
      <c r="M178" s="25">
        <v>114.5</v>
      </c>
      <c r="N178" s="25">
        <v>0</v>
      </c>
    </row>
    <row r="179" spans="1:14" ht="18.75">
      <c r="A179" s="14"/>
      <c r="B179" s="14" t="s">
        <v>221</v>
      </c>
      <c r="C179" s="15" t="s">
        <v>36</v>
      </c>
      <c r="D179" s="16" t="s">
        <v>219</v>
      </c>
      <c r="E179" s="17">
        <f t="shared" ref="E179:G179" si="127">+E177+E178</f>
        <v>264</v>
      </c>
      <c r="F179" s="17">
        <f t="shared" si="127"/>
        <v>34</v>
      </c>
      <c r="G179" s="17">
        <f t="shared" si="127"/>
        <v>1067.3</v>
      </c>
      <c r="H179" s="17">
        <f t="shared" ref="H179:N179" si="128">+H177+H178</f>
        <v>57</v>
      </c>
      <c r="I179" s="17">
        <f t="shared" si="128"/>
        <v>1056</v>
      </c>
      <c r="J179" s="17">
        <f t="shared" si="128"/>
        <v>136</v>
      </c>
      <c r="K179" s="17">
        <f t="shared" si="128"/>
        <v>1056</v>
      </c>
      <c r="L179" s="17">
        <f t="shared" si="128"/>
        <v>57</v>
      </c>
      <c r="M179" s="17">
        <f t="shared" si="128"/>
        <v>1034.5</v>
      </c>
      <c r="N179" s="17">
        <f t="shared" si="128"/>
        <v>350</v>
      </c>
    </row>
    <row r="180" spans="1:14" ht="18.75">
      <c r="A180" s="14">
        <v>36</v>
      </c>
      <c r="B180" s="14" t="s">
        <v>222</v>
      </c>
      <c r="C180" s="15" t="s">
        <v>223</v>
      </c>
      <c r="D180" s="16" t="s">
        <v>224</v>
      </c>
      <c r="E180" s="29">
        <f>150-20</f>
        <v>130</v>
      </c>
      <c r="F180" s="25">
        <v>1.5</v>
      </c>
      <c r="G180" s="25">
        <v>450</v>
      </c>
      <c r="H180" s="25">
        <v>10</v>
      </c>
      <c r="I180" s="25">
        <f t="shared" ref="I180:J183" si="129">ROUND(E180/3*12,2)</f>
        <v>520</v>
      </c>
      <c r="J180" s="25">
        <f t="shared" si="129"/>
        <v>6</v>
      </c>
      <c r="K180" s="25">
        <f>IF(G180&lt;I180,G180,I180)</f>
        <v>450</v>
      </c>
      <c r="L180" s="25">
        <f>IF(H180&lt;J180,H180,J180)</f>
        <v>6</v>
      </c>
      <c r="M180" s="25">
        <f>IF(I180&lt;K180,I180,K180)</f>
        <v>450</v>
      </c>
      <c r="N180" s="25">
        <f>IF(J180&lt;L180,J180,L180)</f>
        <v>6</v>
      </c>
    </row>
    <row r="181" spans="1:14" ht="18.75">
      <c r="A181" s="18">
        <v>37</v>
      </c>
      <c r="B181" s="14"/>
      <c r="C181" s="15"/>
      <c r="D181" s="12" t="s">
        <v>225</v>
      </c>
      <c r="E181" s="25">
        <v>440</v>
      </c>
      <c r="F181" s="25">
        <v>5</v>
      </c>
      <c r="G181" s="25">
        <v>1700</v>
      </c>
      <c r="H181" s="25">
        <v>60</v>
      </c>
      <c r="I181" s="25">
        <f t="shared" si="129"/>
        <v>1760</v>
      </c>
      <c r="J181" s="25">
        <f t="shared" si="129"/>
        <v>20</v>
      </c>
      <c r="K181" s="25">
        <f t="shared" ref="K181:L183" si="130">IF(G181&lt;I181,G181,I181)</f>
        <v>1700</v>
      </c>
      <c r="L181" s="25">
        <f t="shared" si="130"/>
        <v>20</v>
      </c>
      <c r="M181" s="25">
        <v>1825</v>
      </c>
      <c r="N181" s="25">
        <v>60</v>
      </c>
    </row>
    <row r="182" spans="1:14" ht="37.5">
      <c r="A182" s="10">
        <v>38</v>
      </c>
      <c r="B182" s="10"/>
      <c r="C182" s="11"/>
      <c r="D182" s="12" t="s">
        <v>226</v>
      </c>
      <c r="E182" s="25">
        <v>106.25</v>
      </c>
      <c r="F182" s="25"/>
      <c r="G182" s="25">
        <v>425</v>
      </c>
      <c r="H182" s="25"/>
      <c r="I182" s="25">
        <f t="shared" si="129"/>
        <v>425</v>
      </c>
      <c r="J182" s="25">
        <f t="shared" si="129"/>
        <v>0</v>
      </c>
      <c r="K182" s="25">
        <f t="shared" si="130"/>
        <v>425</v>
      </c>
      <c r="L182" s="25">
        <f t="shared" si="130"/>
        <v>0</v>
      </c>
      <c r="M182" s="25">
        <f>IF(I182&lt;K182,I182,K182)</f>
        <v>425</v>
      </c>
      <c r="N182" s="25">
        <f>IF(J182&lt;L182,J182,L182)</f>
        <v>0</v>
      </c>
    </row>
    <row r="183" spans="1:14" ht="37.5">
      <c r="A183" s="10">
        <v>39</v>
      </c>
      <c r="B183" s="10"/>
      <c r="C183" s="11"/>
      <c r="D183" s="12" t="s">
        <v>227</v>
      </c>
      <c r="E183" s="25">
        <v>0</v>
      </c>
      <c r="F183" s="25">
        <v>0</v>
      </c>
      <c r="G183" s="25"/>
      <c r="H183" s="25"/>
      <c r="I183" s="25">
        <f t="shared" si="129"/>
        <v>0</v>
      </c>
      <c r="J183" s="25">
        <f t="shared" si="129"/>
        <v>0</v>
      </c>
      <c r="K183" s="25">
        <f t="shared" si="130"/>
        <v>0</v>
      </c>
      <c r="L183" s="25">
        <f t="shared" si="130"/>
        <v>0</v>
      </c>
      <c r="M183" s="25">
        <f>IF(I183&lt;K183,I183,K183)</f>
        <v>0</v>
      </c>
      <c r="N183" s="25">
        <f>IF(J183&lt;L183,J183,L183)</f>
        <v>0</v>
      </c>
    </row>
    <row r="184" spans="1:14" ht="18.75">
      <c r="A184" s="14"/>
      <c r="B184" s="14" t="s">
        <v>228</v>
      </c>
      <c r="C184" s="15" t="s">
        <v>69</v>
      </c>
      <c r="D184" s="16" t="s">
        <v>225</v>
      </c>
      <c r="E184" s="17">
        <f t="shared" ref="E184:G184" si="131">+E181+E182+E183</f>
        <v>546.25</v>
      </c>
      <c r="F184" s="17">
        <f t="shared" si="131"/>
        <v>5</v>
      </c>
      <c r="G184" s="17">
        <f t="shared" si="131"/>
        <v>2125</v>
      </c>
      <c r="H184" s="17">
        <f t="shared" ref="H184:N184" si="132">+H181+H182+H183</f>
        <v>60</v>
      </c>
      <c r="I184" s="17">
        <f t="shared" si="132"/>
        <v>2185</v>
      </c>
      <c r="J184" s="17">
        <f t="shared" si="132"/>
        <v>20</v>
      </c>
      <c r="K184" s="17">
        <f t="shared" si="132"/>
        <v>2125</v>
      </c>
      <c r="L184" s="17">
        <f t="shared" si="132"/>
        <v>20</v>
      </c>
      <c r="M184" s="17">
        <f t="shared" si="132"/>
        <v>2250</v>
      </c>
      <c r="N184" s="17">
        <f t="shared" si="132"/>
        <v>60</v>
      </c>
    </row>
    <row r="185" spans="1:14" ht="18.75">
      <c r="A185" s="14"/>
      <c r="B185" s="14"/>
      <c r="C185" s="15"/>
      <c r="D185" s="16" t="s">
        <v>229</v>
      </c>
      <c r="E185" s="13">
        <f t="shared" ref="E185:G185" si="133">+E184+E180+E179+E176+E175+E174+E170+E169+E168+E165+E164+E160+E161+E157+E156+E146+E142+E139+E136</f>
        <v>11652.220000000001</v>
      </c>
      <c r="F185" s="13">
        <f t="shared" si="133"/>
        <v>8062.29</v>
      </c>
      <c r="G185" s="13">
        <f t="shared" si="133"/>
        <v>47359.340000000004</v>
      </c>
      <c r="H185" s="13">
        <f t="shared" ref="H185:K185" si="134">+H184+H180+H179+H176+H175+H174+H170+H169+H168+H165+H164+H160+H161+H157+H156+H146+H142+H139+H136</f>
        <v>32585.940000000002</v>
      </c>
      <c r="I185" s="13">
        <f t="shared" si="134"/>
        <v>46608.880000000005</v>
      </c>
      <c r="J185" s="13">
        <f t="shared" si="134"/>
        <v>32249.16</v>
      </c>
      <c r="K185" s="13">
        <f t="shared" si="134"/>
        <v>45257.880000000005</v>
      </c>
      <c r="L185" s="13">
        <f>+L184+L180+L179+L176+L175+L174+L170+L169+L168+L165+L164+L160+L161+L157+L156+L146+L142+L139+L136</f>
        <v>30908.81</v>
      </c>
      <c r="M185" s="13">
        <f t="shared" ref="M185:N185" si="135">+M184+M180+M179+M176+M175+M174+M170+M169+M168+M165+M164+M160+M161+M157+M156+M146+M142+M139+M136</f>
        <v>45636.4</v>
      </c>
      <c r="N185" s="13">
        <f t="shared" si="135"/>
        <v>31525.559999999998</v>
      </c>
    </row>
    <row r="186" spans="1:14" ht="18.75">
      <c r="A186" s="14">
        <v>1</v>
      </c>
      <c r="B186" s="14"/>
      <c r="C186" s="15"/>
      <c r="D186" s="16" t="s">
        <v>230</v>
      </c>
      <c r="E186" s="25">
        <v>1300</v>
      </c>
      <c r="F186" s="29">
        <f>1700-200</f>
        <v>1500</v>
      </c>
      <c r="G186" s="25">
        <v>5200</v>
      </c>
      <c r="H186" s="25">
        <v>7000</v>
      </c>
      <c r="I186" s="25">
        <f>ROUND(E186/3*12,2)</f>
        <v>5200</v>
      </c>
      <c r="J186" s="25">
        <f>ROUND(F186/3*12,2)</f>
        <v>6000</v>
      </c>
      <c r="K186" s="25">
        <f>IF(G186&lt;I186,G186,I186)</f>
        <v>5200</v>
      </c>
      <c r="L186" s="25">
        <f>IF(H186&lt;J186,H186,J186)</f>
        <v>6000</v>
      </c>
      <c r="M186" s="25">
        <f>IF(I186&lt;K186,I186,K186)</f>
        <v>5200</v>
      </c>
      <c r="N186" s="25">
        <f>IF(J186&lt;L186,J186,L186)+1400</f>
        <v>7400</v>
      </c>
    </row>
    <row r="187" spans="1:14" ht="18.75">
      <c r="A187" s="14"/>
      <c r="B187" s="14"/>
      <c r="C187" s="15"/>
      <c r="D187" s="16" t="s">
        <v>230</v>
      </c>
      <c r="E187" s="17">
        <f t="shared" ref="E187:G187" si="136">E186</f>
        <v>1300</v>
      </c>
      <c r="F187" s="17">
        <f t="shared" si="136"/>
        <v>1500</v>
      </c>
      <c r="G187" s="17">
        <f t="shared" si="136"/>
        <v>5200</v>
      </c>
      <c r="H187" s="17">
        <f t="shared" ref="H187:N187" si="137">H186</f>
        <v>7000</v>
      </c>
      <c r="I187" s="17">
        <f t="shared" si="137"/>
        <v>5200</v>
      </c>
      <c r="J187" s="17">
        <f t="shared" si="137"/>
        <v>6000</v>
      </c>
      <c r="K187" s="17">
        <f t="shared" si="137"/>
        <v>5200</v>
      </c>
      <c r="L187" s="17">
        <f t="shared" si="137"/>
        <v>6000</v>
      </c>
      <c r="M187" s="17">
        <f t="shared" si="137"/>
        <v>5200</v>
      </c>
      <c r="N187" s="17">
        <f t="shared" si="137"/>
        <v>7400</v>
      </c>
    </row>
    <row r="188" spans="1:14" ht="18.75">
      <c r="A188" s="10">
        <v>2</v>
      </c>
      <c r="B188" s="10"/>
      <c r="C188" s="11"/>
      <c r="D188" s="12" t="s">
        <v>231</v>
      </c>
      <c r="E188" s="25">
        <v>690</v>
      </c>
      <c r="F188" s="29">
        <f>120-20-5</f>
        <v>95</v>
      </c>
      <c r="G188" s="25">
        <v>2600</v>
      </c>
      <c r="H188" s="25">
        <v>460</v>
      </c>
      <c r="I188" s="25">
        <f t="shared" ref="I188:J190" si="138">ROUND(E188/3*12,2)</f>
        <v>2760</v>
      </c>
      <c r="J188" s="25">
        <f t="shared" si="138"/>
        <v>380</v>
      </c>
      <c r="K188" s="25">
        <f t="shared" ref="K188:N190" si="139">IF(G188&lt;I188,G188,I188)</f>
        <v>2600</v>
      </c>
      <c r="L188" s="25">
        <f t="shared" si="139"/>
        <v>380</v>
      </c>
      <c r="M188" s="25">
        <f t="shared" si="139"/>
        <v>2600</v>
      </c>
      <c r="N188" s="25">
        <f t="shared" si="139"/>
        <v>380</v>
      </c>
    </row>
    <row r="189" spans="1:14" ht="37.5">
      <c r="A189" s="10">
        <v>3</v>
      </c>
      <c r="B189" s="10"/>
      <c r="C189" s="11"/>
      <c r="D189" s="12" t="s">
        <v>232</v>
      </c>
      <c r="E189" s="25">
        <v>590</v>
      </c>
      <c r="F189" s="25"/>
      <c r="G189" s="25">
        <v>2666.36</v>
      </c>
      <c r="H189" s="25"/>
      <c r="I189" s="25">
        <f t="shared" si="138"/>
        <v>2360</v>
      </c>
      <c r="J189" s="25">
        <f t="shared" si="138"/>
        <v>0</v>
      </c>
      <c r="K189" s="25">
        <f t="shared" si="139"/>
        <v>2360</v>
      </c>
      <c r="L189" s="25">
        <f t="shared" si="139"/>
        <v>0</v>
      </c>
      <c r="M189" s="25">
        <f t="shared" si="139"/>
        <v>2360</v>
      </c>
      <c r="N189" s="25">
        <f t="shared" si="139"/>
        <v>0</v>
      </c>
    </row>
    <row r="190" spans="1:14" ht="18.75">
      <c r="A190" s="10">
        <v>4</v>
      </c>
      <c r="B190" s="10"/>
      <c r="C190" s="11"/>
      <c r="D190" s="12" t="s">
        <v>233</v>
      </c>
      <c r="E190" s="25">
        <v>160</v>
      </c>
      <c r="F190" s="25"/>
      <c r="G190" s="25">
        <v>680.8</v>
      </c>
      <c r="H190" s="25"/>
      <c r="I190" s="25">
        <f t="shared" si="138"/>
        <v>640</v>
      </c>
      <c r="J190" s="25">
        <f t="shared" si="138"/>
        <v>0</v>
      </c>
      <c r="K190" s="25">
        <f t="shared" si="139"/>
        <v>640</v>
      </c>
      <c r="L190" s="25">
        <f t="shared" si="139"/>
        <v>0</v>
      </c>
      <c r="M190" s="25">
        <f t="shared" si="139"/>
        <v>640</v>
      </c>
      <c r="N190" s="25">
        <f t="shared" si="139"/>
        <v>0</v>
      </c>
    </row>
    <row r="191" spans="1:14" ht="18.75">
      <c r="A191" s="14"/>
      <c r="B191" s="14" t="s">
        <v>234</v>
      </c>
      <c r="C191" s="15" t="s">
        <v>69</v>
      </c>
      <c r="D191" s="16" t="s">
        <v>231</v>
      </c>
      <c r="E191" s="17">
        <f t="shared" ref="E191:G191" si="140">+E188+E189+E190</f>
        <v>1440</v>
      </c>
      <c r="F191" s="17">
        <f t="shared" si="140"/>
        <v>95</v>
      </c>
      <c r="G191" s="17">
        <f t="shared" si="140"/>
        <v>5947.1600000000008</v>
      </c>
      <c r="H191" s="17">
        <f t="shared" ref="H191:N191" si="141">+H188+H189+H190</f>
        <v>460</v>
      </c>
      <c r="I191" s="17">
        <f t="shared" si="141"/>
        <v>5760</v>
      </c>
      <c r="J191" s="17">
        <f t="shared" si="141"/>
        <v>380</v>
      </c>
      <c r="K191" s="17">
        <f t="shared" si="141"/>
        <v>5600</v>
      </c>
      <c r="L191" s="17">
        <f t="shared" si="141"/>
        <v>380</v>
      </c>
      <c r="M191" s="17">
        <f t="shared" si="141"/>
        <v>5600</v>
      </c>
      <c r="N191" s="17">
        <f t="shared" si="141"/>
        <v>380</v>
      </c>
    </row>
    <row r="192" spans="1:14" ht="18.75">
      <c r="A192" s="14">
        <v>5</v>
      </c>
      <c r="B192" s="14" t="s">
        <v>235</v>
      </c>
      <c r="C192" s="15" t="s">
        <v>223</v>
      </c>
      <c r="D192" s="16" t="s">
        <v>236</v>
      </c>
      <c r="E192" s="25">
        <v>1100</v>
      </c>
      <c r="F192" s="25">
        <v>250</v>
      </c>
      <c r="G192" s="25">
        <v>4500</v>
      </c>
      <c r="H192" s="25">
        <v>900</v>
      </c>
      <c r="I192" s="25">
        <f t="shared" ref="I192:J194" si="142">ROUND(E192/3*12,2)</f>
        <v>4400</v>
      </c>
      <c r="J192" s="25">
        <f t="shared" si="142"/>
        <v>1000</v>
      </c>
      <c r="K192" s="25">
        <f>IF(G192&lt;I192,G192,I192)</f>
        <v>4400</v>
      </c>
      <c r="L192" s="25">
        <f>IF(H192&lt;J192,H192,J192)</f>
        <v>900</v>
      </c>
      <c r="M192" s="25">
        <f>IF(I192&lt;K192,I192,K192)</f>
        <v>4400</v>
      </c>
      <c r="N192" s="25">
        <f>IF(J192&lt;L192,J192,L192)</f>
        <v>900</v>
      </c>
    </row>
    <row r="193" spans="1:14" ht="18.75">
      <c r="A193" s="10">
        <v>6</v>
      </c>
      <c r="B193" s="10"/>
      <c r="C193" s="11"/>
      <c r="D193" s="12" t="s">
        <v>237</v>
      </c>
      <c r="E193" s="25">
        <v>737</v>
      </c>
      <c r="F193" s="25">
        <v>50</v>
      </c>
      <c r="G193" s="25">
        <v>3321.28</v>
      </c>
      <c r="H193" s="25">
        <v>841.89</v>
      </c>
      <c r="I193" s="25">
        <f t="shared" si="142"/>
        <v>2948</v>
      </c>
      <c r="J193" s="25">
        <f t="shared" si="142"/>
        <v>200</v>
      </c>
      <c r="K193" s="25">
        <f>IF(G193&lt;I193,G193,I193)</f>
        <v>2948</v>
      </c>
      <c r="L193" s="25">
        <f>IF(H193&lt;J193,H193,J193)</f>
        <v>200</v>
      </c>
      <c r="M193" s="25">
        <v>3005</v>
      </c>
      <c r="N193" s="25">
        <v>460</v>
      </c>
    </row>
    <row r="194" spans="1:14" ht="18.75">
      <c r="A194" s="10">
        <v>7</v>
      </c>
      <c r="B194" s="10"/>
      <c r="C194" s="11"/>
      <c r="D194" s="12" t="s">
        <v>238</v>
      </c>
      <c r="E194" s="25">
        <v>97</v>
      </c>
      <c r="F194" s="25"/>
      <c r="G194" s="25"/>
      <c r="H194" s="25"/>
      <c r="I194" s="25">
        <f t="shared" si="142"/>
        <v>388</v>
      </c>
      <c r="J194" s="25">
        <f t="shared" si="142"/>
        <v>0</v>
      </c>
      <c r="K194" s="25">
        <f>IF(G194&lt;I194,G194,I194)</f>
        <v>0</v>
      </c>
      <c r="L194" s="25">
        <f>IF(H194&lt;J194,H194,J194)</f>
        <v>0</v>
      </c>
      <c r="M194" s="25">
        <v>385</v>
      </c>
      <c r="N194" s="25"/>
    </row>
    <row r="195" spans="1:14" ht="18.75">
      <c r="A195" s="14"/>
      <c r="B195" s="14" t="s">
        <v>239</v>
      </c>
      <c r="C195" s="15" t="s">
        <v>92</v>
      </c>
      <c r="D195" s="16" t="s">
        <v>237</v>
      </c>
      <c r="E195" s="17">
        <f t="shared" ref="E195:G195" si="143">+E193+E194</f>
        <v>834</v>
      </c>
      <c r="F195" s="17">
        <f t="shared" si="143"/>
        <v>50</v>
      </c>
      <c r="G195" s="17">
        <f t="shared" si="143"/>
        <v>3321.28</v>
      </c>
      <c r="H195" s="17">
        <f t="shared" ref="H195:N195" si="144">+H193+H194</f>
        <v>841.89</v>
      </c>
      <c r="I195" s="17">
        <f t="shared" si="144"/>
        <v>3336</v>
      </c>
      <c r="J195" s="17">
        <f t="shared" si="144"/>
        <v>200</v>
      </c>
      <c r="K195" s="17">
        <f t="shared" si="144"/>
        <v>2948</v>
      </c>
      <c r="L195" s="17">
        <f t="shared" si="144"/>
        <v>200</v>
      </c>
      <c r="M195" s="17">
        <f t="shared" si="144"/>
        <v>3390</v>
      </c>
      <c r="N195" s="17">
        <f t="shared" si="144"/>
        <v>460</v>
      </c>
    </row>
    <row r="196" spans="1:14" ht="18.75">
      <c r="A196" s="14">
        <v>8</v>
      </c>
      <c r="B196" s="14" t="s">
        <v>240</v>
      </c>
      <c r="C196" s="15" t="s">
        <v>241</v>
      </c>
      <c r="D196" s="16" t="s">
        <v>242</v>
      </c>
      <c r="E196" s="29">
        <f>1830-80</f>
        <v>1750</v>
      </c>
      <c r="F196" s="29">
        <f>200-20-10</f>
        <v>170</v>
      </c>
      <c r="G196" s="25">
        <v>7994</v>
      </c>
      <c r="H196" s="25">
        <v>1250</v>
      </c>
      <c r="I196" s="25">
        <f t="shared" ref="I196:I204" si="145">ROUND(E196/3*12,2)</f>
        <v>7000</v>
      </c>
      <c r="J196" s="25">
        <f t="shared" ref="J196:J204" si="146">ROUND(F196/3*12,2)</f>
        <v>680</v>
      </c>
      <c r="K196" s="25">
        <f t="shared" ref="K196:L198" si="147">IF(G196&lt;I196,G196,I196)</f>
        <v>7000</v>
      </c>
      <c r="L196" s="25">
        <f t="shared" si="147"/>
        <v>680</v>
      </c>
      <c r="M196" s="25">
        <v>7000</v>
      </c>
      <c r="N196" s="25">
        <v>700</v>
      </c>
    </row>
    <row r="197" spans="1:14" ht="18.75">
      <c r="A197" s="14">
        <v>9</v>
      </c>
      <c r="B197" s="14" t="s">
        <v>243</v>
      </c>
      <c r="C197" s="15" t="s">
        <v>159</v>
      </c>
      <c r="D197" s="16" t="s">
        <v>244</v>
      </c>
      <c r="E197" s="25">
        <v>700</v>
      </c>
      <c r="F197" s="29">
        <f>150-75</f>
        <v>75</v>
      </c>
      <c r="G197" s="25">
        <v>2700</v>
      </c>
      <c r="H197" s="25">
        <v>338.9</v>
      </c>
      <c r="I197" s="25">
        <f t="shared" si="145"/>
        <v>2800</v>
      </c>
      <c r="J197" s="25">
        <f t="shared" si="146"/>
        <v>300</v>
      </c>
      <c r="K197" s="25">
        <f t="shared" si="147"/>
        <v>2700</v>
      </c>
      <c r="L197" s="25">
        <f t="shared" si="147"/>
        <v>300</v>
      </c>
      <c r="M197" s="25">
        <v>2700</v>
      </c>
      <c r="N197" s="25">
        <v>300</v>
      </c>
    </row>
    <row r="198" spans="1:14" ht="18.75">
      <c r="A198" s="14">
        <v>10</v>
      </c>
      <c r="B198" s="14" t="s">
        <v>245</v>
      </c>
      <c r="C198" s="15" t="s">
        <v>246</v>
      </c>
      <c r="D198" s="16" t="s">
        <v>247</v>
      </c>
      <c r="E198" s="25">
        <v>250</v>
      </c>
      <c r="F198" s="29">
        <f>100-50</f>
        <v>50</v>
      </c>
      <c r="G198" s="25">
        <v>1112</v>
      </c>
      <c r="H198" s="25">
        <v>110</v>
      </c>
      <c r="I198" s="25">
        <f t="shared" si="145"/>
        <v>1000</v>
      </c>
      <c r="J198" s="25">
        <f t="shared" si="146"/>
        <v>200</v>
      </c>
      <c r="K198" s="25">
        <f t="shared" si="147"/>
        <v>1000</v>
      </c>
      <c r="L198" s="25">
        <f t="shared" si="147"/>
        <v>110</v>
      </c>
      <c r="M198" s="25">
        <v>1000</v>
      </c>
      <c r="N198" s="25">
        <f>110+56</f>
        <v>166</v>
      </c>
    </row>
    <row r="199" spans="1:14" ht="18.75">
      <c r="A199" s="10">
        <v>11</v>
      </c>
      <c r="B199" s="10"/>
      <c r="C199" s="11"/>
      <c r="D199" s="12" t="s">
        <v>248</v>
      </c>
      <c r="E199" s="25">
        <v>440</v>
      </c>
      <c r="F199" s="25">
        <v>0</v>
      </c>
      <c r="G199" s="25">
        <v>1800</v>
      </c>
      <c r="H199" s="33">
        <v>200</v>
      </c>
      <c r="I199" s="25">
        <f t="shared" si="145"/>
        <v>1760</v>
      </c>
      <c r="J199" s="25">
        <f t="shared" si="146"/>
        <v>0</v>
      </c>
      <c r="K199" s="25">
        <f t="shared" ref="K199:K204" si="148">IF(G199&lt;I199,G199,I199)</f>
        <v>1760</v>
      </c>
      <c r="L199" s="30">
        <f>IF(H199&lt;J199,H199,J199)+268</f>
        <v>268</v>
      </c>
      <c r="M199" s="25">
        <v>1800</v>
      </c>
      <c r="N199" s="25">
        <v>268</v>
      </c>
    </row>
    <row r="200" spans="1:14" ht="18.75">
      <c r="A200" s="10">
        <v>12</v>
      </c>
      <c r="B200" s="10"/>
      <c r="C200" s="11"/>
      <c r="D200" s="12" t="s">
        <v>249</v>
      </c>
      <c r="E200" s="25">
        <v>135</v>
      </c>
      <c r="F200" s="25">
        <v>0</v>
      </c>
      <c r="G200" s="25">
        <v>725</v>
      </c>
      <c r="H200" s="25"/>
      <c r="I200" s="25">
        <f t="shared" si="145"/>
        <v>540</v>
      </c>
      <c r="J200" s="25">
        <f t="shared" si="146"/>
        <v>0</v>
      </c>
      <c r="K200" s="25">
        <f t="shared" si="148"/>
        <v>540</v>
      </c>
      <c r="L200" s="25">
        <f>IF(H200&lt;J200,H200,J200)</f>
        <v>0</v>
      </c>
      <c r="M200" s="28">
        <v>540</v>
      </c>
      <c r="N200" s="25">
        <v>0</v>
      </c>
    </row>
    <row r="201" spans="1:14" ht="18.75">
      <c r="A201" s="10">
        <v>13</v>
      </c>
      <c r="B201" s="10"/>
      <c r="C201" s="11"/>
      <c r="D201" s="12" t="s">
        <v>250</v>
      </c>
      <c r="E201" s="25">
        <v>43</v>
      </c>
      <c r="F201" s="25">
        <v>0</v>
      </c>
      <c r="G201" s="25">
        <v>225</v>
      </c>
      <c r="H201" s="25"/>
      <c r="I201" s="25">
        <f t="shared" si="145"/>
        <v>172</v>
      </c>
      <c r="J201" s="25">
        <f t="shared" si="146"/>
        <v>0</v>
      </c>
      <c r="K201" s="25">
        <f t="shared" si="148"/>
        <v>172</v>
      </c>
      <c r="L201" s="25">
        <f>IF(H201&lt;J201,H201,J201)</f>
        <v>0</v>
      </c>
      <c r="M201" s="25">
        <v>250</v>
      </c>
      <c r="N201" s="25">
        <v>0</v>
      </c>
    </row>
    <row r="202" spans="1:14" ht="18.75">
      <c r="A202" s="10">
        <v>14</v>
      </c>
      <c r="B202" s="10"/>
      <c r="C202" s="11"/>
      <c r="D202" s="12" t="s">
        <v>251</v>
      </c>
      <c r="E202" s="25">
        <v>160</v>
      </c>
      <c r="F202" s="25">
        <v>0</v>
      </c>
      <c r="G202" s="25">
        <v>904.39</v>
      </c>
      <c r="H202" s="25"/>
      <c r="I202" s="25">
        <f t="shared" si="145"/>
        <v>640</v>
      </c>
      <c r="J202" s="25">
        <f t="shared" si="146"/>
        <v>0</v>
      </c>
      <c r="K202" s="25">
        <f t="shared" si="148"/>
        <v>640</v>
      </c>
      <c r="L202" s="25">
        <f>IF(H202&lt;J202,H202,J202)</f>
        <v>0</v>
      </c>
      <c r="M202" s="25">
        <v>1006.5</v>
      </c>
      <c r="N202" s="25">
        <v>0</v>
      </c>
    </row>
    <row r="203" spans="1:14" ht="18.75">
      <c r="A203" s="10">
        <v>15</v>
      </c>
      <c r="B203" s="10"/>
      <c r="C203" s="11"/>
      <c r="D203" s="12" t="s">
        <v>252</v>
      </c>
      <c r="E203" s="25">
        <v>102</v>
      </c>
      <c r="F203" s="25">
        <v>0</v>
      </c>
      <c r="G203" s="25">
        <v>571.5</v>
      </c>
      <c r="H203" s="25"/>
      <c r="I203" s="25">
        <f t="shared" si="145"/>
        <v>408</v>
      </c>
      <c r="J203" s="25">
        <f t="shared" si="146"/>
        <v>0</v>
      </c>
      <c r="K203" s="25">
        <f t="shared" si="148"/>
        <v>408</v>
      </c>
      <c r="L203" s="25">
        <f>IF(H203&lt;J203,H203,J203)</f>
        <v>0</v>
      </c>
      <c r="M203" s="25">
        <v>571.5</v>
      </c>
      <c r="N203" s="25">
        <v>0</v>
      </c>
    </row>
    <row r="204" spans="1:14" ht="18.75">
      <c r="A204" s="10">
        <v>16</v>
      </c>
      <c r="B204" s="10"/>
      <c r="C204" s="11"/>
      <c r="D204" s="12" t="s">
        <v>253</v>
      </c>
      <c r="E204" s="25">
        <v>0</v>
      </c>
      <c r="F204" s="25">
        <v>0</v>
      </c>
      <c r="G204" s="25"/>
      <c r="H204" s="25"/>
      <c r="I204" s="25">
        <f t="shared" si="145"/>
        <v>0</v>
      </c>
      <c r="J204" s="25">
        <f t="shared" si="146"/>
        <v>0</v>
      </c>
      <c r="K204" s="25">
        <f t="shared" si="148"/>
        <v>0</v>
      </c>
      <c r="L204" s="25">
        <f>IF(H204&lt;J204,H204,J204)</f>
        <v>0</v>
      </c>
      <c r="M204" s="25">
        <v>0</v>
      </c>
      <c r="N204" s="25">
        <v>0</v>
      </c>
    </row>
    <row r="205" spans="1:14" ht="18.75">
      <c r="A205" s="14"/>
      <c r="B205" s="14" t="s">
        <v>254</v>
      </c>
      <c r="C205" s="15" t="s">
        <v>73</v>
      </c>
      <c r="D205" s="16" t="s">
        <v>248</v>
      </c>
      <c r="E205" s="17">
        <f t="shared" ref="E205:G205" si="149">+E199+E200+E201+E202+E203+E204</f>
        <v>880</v>
      </c>
      <c r="F205" s="17">
        <f t="shared" si="149"/>
        <v>0</v>
      </c>
      <c r="G205" s="17">
        <f t="shared" si="149"/>
        <v>4225.8899999999994</v>
      </c>
      <c r="H205" s="17">
        <f t="shared" ref="H205:N205" si="150">+H199+H200+H201+H202+H203+H204</f>
        <v>200</v>
      </c>
      <c r="I205" s="17">
        <f t="shared" si="150"/>
        <v>3520</v>
      </c>
      <c r="J205" s="17">
        <f t="shared" si="150"/>
        <v>0</v>
      </c>
      <c r="K205" s="17">
        <f t="shared" si="150"/>
        <v>3520</v>
      </c>
      <c r="L205" s="17">
        <f t="shared" si="150"/>
        <v>268</v>
      </c>
      <c r="M205" s="17">
        <f t="shared" si="150"/>
        <v>4168</v>
      </c>
      <c r="N205" s="17">
        <f t="shared" si="150"/>
        <v>268</v>
      </c>
    </row>
    <row r="206" spans="1:14" ht="18.75">
      <c r="A206" s="14">
        <v>17</v>
      </c>
      <c r="B206" s="14" t="s">
        <v>255</v>
      </c>
      <c r="C206" s="15" t="s">
        <v>9</v>
      </c>
      <c r="D206" s="16" t="s">
        <v>256</v>
      </c>
      <c r="E206" s="25">
        <v>870</v>
      </c>
      <c r="F206" s="29">
        <f>1100-100</f>
        <v>1000</v>
      </c>
      <c r="G206" s="25">
        <v>3800</v>
      </c>
      <c r="H206" s="25">
        <v>4800</v>
      </c>
      <c r="I206" s="25">
        <f>ROUND(E206/3*12,2)</f>
        <v>3480</v>
      </c>
      <c r="J206" s="25">
        <f>ROUND(F206/3*12,2)</f>
        <v>4000</v>
      </c>
      <c r="K206" s="25">
        <f>IF(G206&lt;I206,G206,I206)</f>
        <v>3480</v>
      </c>
      <c r="L206" s="25">
        <f>IF(H206&lt;J206,H206,J206)</f>
        <v>4000</v>
      </c>
      <c r="M206" s="25">
        <f>IF(I206&lt;K206,I206,K206)</f>
        <v>3480</v>
      </c>
      <c r="N206" s="25">
        <f>IF(J206&lt;L206,J206,L206)</f>
        <v>4000</v>
      </c>
    </row>
    <row r="207" spans="1:14" s="26" customFormat="1" ht="18.75">
      <c r="A207" s="10">
        <v>18</v>
      </c>
      <c r="B207" s="10"/>
      <c r="C207" s="11"/>
      <c r="D207" s="12" t="s">
        <v>257</v>
      </c>
      <c r="E207" s="25">
        <v>200</v>
      </c>
      <c r="F207" s="25">
        <v>0</v>
      </c>
      <c r="G207" s="25">
        <v>800</v>
      </c>
      <c r="H207" s="25">
        <f>150+25</f>
        <v>175</v>
      </c>
      <c r="I207" s="25">
        <f>ROUND(E207/3*12,2)</f>
        <v>800</v>
      </c>
      <c r="J207" s="25">
        <f>ROUND(F207/3*12,2)+175</f>
        <v>175</v>
      </c>
      <c r="K207" s="25">
        <f>IF(G207&lt;I207,G207,I207)</f>
        <v>800</v>
      </c>
      <c r="L207" s="25">
        <f>IF(H207&lt;J207,H207,J207)+25</f>
        <v>200</v>
      </c>
      <c r="M207" s="25">
        <f>IF(I207&lt;K207,I207,K207)</f>
        <v>800</v>
      </c>
      <c r="N207" s="25">
        <f>IF(J207&lt;L207,J207,L207)+25</f>
        <v>200</v>
      </c>
    </row>
    <row r="208" spans="1:14" ht="18.75">
      <c r="A208" s="10">
        <v>19</v>
      </c>
      <c r="B208" s="10"/>
      <c r="C208" s="11"/>
      <c r="D208" s="12" t="s">
        <v>258</v>
      </c>
      <c r="E208" s="25">
        <v>275</v>
      </c>
      <c r="F208" s="25">
        <v>0</v>
      </c>
      <c r="G208" s="25">
        <v>1265</v>
      </c>
      <c r="H208" s="25"/>
      <c r="I208" s="25">
        <f>ROUND(E208/3*12,2)</f>
        <v>1100</v>
      </c>
      <c r="J208" s="25">
        <f>ROUND(F208/3*12,2)</f>
        <v>0</v>
      </c>
      <c r="K208" s="25">
        <f>IF(G208&lt;I208,G208,I208)</f>
        <v>1100</v>
      </c>
      <c r="L208" s="25">
        <f>IF(H208&lt;J208,H208,J208)</f>
        <v>0</v>
      </c>
      <c r="M208" s="25">
        <f>IF(I208&lt;K208,I208,K208)</f>
        <v>1100</v>
      </c>
      <c r="N208" s="25">
        <f>IF(J208&lt;L208,J208,L208)</f>
        <v>0</v>
      </c>
    </row>
    <row r="209" spans="1:14" ht="18.75">
      <c r="A209" s="14"/>
      <c r="B209" s="14" t="s">
        <v>259</v>
      </c>
      <c r="C209" s="15" t="s">
        <v>36</v>
      </c>
      <c r="D209" s="16" t="s">
        <v>257</v>
      </c>
      <c r="E209" s="17">
        <f t="shared" ref="E209:G209" si="151">+E207+E208</f>
        <v>475</v>
      </c>
      <c r="F209" s="17">
        <f t="shared" si="151"/>
        <v>0</v>
      </c>
      <c r="G209" s="17">
        <f t="shared" si="151"/>
        <v>2065</v>
      </c>
      <c r="H209" s="17">
        <f t="shared" ref="H209:N209" si="152">+H207+H208</f>
        <v>175</v>
      </c>
      <c r="I209" s="17">
        <f t="shared" si="152"/>
        <v>1900</v>
      </c>
      <c r="J209" s="17">
        <f t="shared" si="152"/>
        <v>175</v>
      </c>
      <c r="K209" s="17">
        <f t="shared" si="152"/>
        <v>1900</v>
      </c>
      <c r="L209" s="17">
        <f t="shared" si="152"/>
        <v>200</v>
      </c>
      <c r="M209" s="17">
        <f t="shared" si="152"/>
        <v>1900</v>
      </c>
      <c r="N209" s="17">
        <f t="shared" si="152"/>
        <v>200</v>
      </c>
    </row>
    <row r="210" spans="1:14" ht="18.75">
      <c r="A210" s="10">
        <v>20</v>
      </c>
      <c r="B210" s="10"/>
      <c r="C210" s="11"/>
      <c r="D210" s="12" t="s">
        <v>260</v>
      </c>
      <c r="E210" s="29">
        <f>395.41-50</f>
        <v>345.41</v>
      </c>
      <c r="F210" s="29">
        <f>175.6-75.6</f>
        <v>100</v>
      </c>
      <c r="G210" s="25">
        <v>1391.19</v>
      </c>
      <c r="H210" s="25">
        <v>390</v>
      </c>
      <c r="I210" s="25">
        <f t="shared" ref="I210:J212" si="153">ROUND(E210/3*12,2)</f>
        <v>1381.64</v>
      </c>
      <c r="J210" s="25">
        <f t="shared" si="153"/>
        <v>400</v>
      </c>
      <c r="K210" s="25">
        <f t="shared" ref="K210:L212" si="154">IF(G210&lt;I210,G210,I210)</f>
        <v>1381.64</v>
      </c>
      <c r="L210" s="25">
        <f t="shared" si="154"/>
        <v>390</v>
      </c>
      <c r="M210" s="25">
        <v>1331.64</v>
      </c>
      <c r="N210" s="25">
        <v>229</v>
      </c>
    </row>
    <row r="211" spans="1:14" ht="18.75">
      <c r="A211" s="10">
        <v>21</v>
      </c>
      <c r="B211" s="10"/>
      <c r="C211" s="11"/>
      <c r="D211" s="12" t="s">
        <v>261</v>
      </c>
      <c r="E211" s="25">
        <v>470</v>
      </c>
      <c r="F211" s="25">
        <v>0</v>
      </c>
      <c r="G211" s="25">
        <v>2143</v>
      </c>
      <c r="H211" s="25"/>
      <c r="I211" s="25">
        <f t="shared" si="153"/>
        <v>1880</v>
      </c>
      <c r="J211" s="25">
        <f t="shared" si="153"/>
        <v>0</v>
      </c>
      <c r="K211" s="25">
        <f t="shared" si="154"/>
        <v>1880</v>
      </c>
      <c r="L211" s="25">
        <f t="shared" si="154"/>
        <v>0</v>
      </c>
      <c r="M211" s="25">
        <f>IF(I211&lt;K211,I211,K211)</f>
        <v>1880</v>
      </c>
      <c r="N211" s="25">
        <f>IF(J211&lt;L211,J211,L211)</f>
        <v>0</v>
      </c>
    </row>
    <row r="212" spans="1:14" ht="18.75">
      <c r="A212" s="10">
        <v>22</v>
      </c>
      <c r="B212" s="10"/>
      <c r="C212" s="11"/>
      <c r="D212" s="12" t="s">
        <v>262</v>
      </c>
      <c r="E212" s="25">
        <v>0</v>
      </c>
      <c r="F212" s="25">
        <v>0</v>
      </c>
      <c r="G212" s="25"/>
      <c r="H212" s="25"/>
      <c r="I212" s="25">
        <f t="shared" si="153"/>
        <v>0</v>
      </c>
      <c r="J212" s="25">
        <f t="shared" si="153"/>
        <v>0</v>
      </c>
      <c r="K212" s="25">
        <f t="shared" si="154"/>
        <v>0</v>
      </c>
      <c r="L212" s="25">
        <f t="shared" si="154"/>
        <v>0</v>
      </c>
      <c r="M212" s="25">
        <f>IF(I212&lt;K212,I212,K212)</f>
        <v>0</v>
      </c>
      <c r="N212" s="25">
        <f>IF(J212&lt;L212,J212,L212)</f>
        <v>0</v>
      </c>
    </row>
    <row r="213" spans="1:14" ht="18.75">
      <c r="A213" s="14"/>
      <c r="B213" s="14" t="s">
        <v>263</v>
      </c>
      <c r="C213" s="15" t="s">
        <v>17</v>
      </c>
      <c r="D213" s="16" t="s">
        <v>260</v>
      </c>
      <c r="E213" s="17">
        <f t="shared" ref="E213:G213" si="155">+E210+E211+E212</f>
        <v>815.41000000000008</v>
      </c>
      <c r="F213" s="17">
        <f t="shared" si="155"/>
        <v>100</v>
      </c>
      <c r="G213" s="17">
        <f t="shared" si="155"/>
        <v>3534.19</v>
      </c>
      <c r="H213" s="17">
        <f t="shared" ref="H213:N213" si="156">+H210+H211+H212</f>
        <v>390</v>
      </c>
      <c r="I213" s="17">
        <f t="shared" si="156"/>
        <v>3261.6400000000003</v>
      </c>
      <c r="J213" s="17">
        <f t="shared" si="156"/>
        <v>400</v>
      </c>
      <c r="K213" s="17">
        <f t="shared" si="156"/>
        <v>3261.6400000000003</v>
      </c>
      <c r="L213" s="17">
        <f t="shared" si="156"/>
        <v>390</v>
      </c>
      <c r="M213" s="17">
        <f t="shared" si="156"/>
        <v>3211.6400000000003</v>
      </c>
      <c r="N213" s="17">
        <f t="shared" si="156"/>
        <v>229</v>
      </c>
    </row>
    <row r="214" spans="1:14" ht="18.75">
      <c r="A214" s="14">
        <v>23</v>
      </c>
      <c r="B214" s="14" t="s">
        <v>264</v>
      </c>
      <c r="C214" s="15" t="s">
        <v>159</v>
      </c>
      <c r="D214" s="16" t="s">
        <v>401</v>
      </c>
      <c r="E214" s="25">
        <v>70</v>
      </c>
      <c r="F214" s="25">
        <v>0</v>
      </c>
      <c r="G214" s="25">
        <v>300</v>
      </c>
      <c r="H214" s="25"/>
      <c r="I214" s="25">
        <f t="shared" ref="I214:J216" si="157">ROUND(E214/3*12,2)</f>
        <v>280</v>
      </c>
      <c r="J214" s="25">
        <f t="shared" si="157"/>
        <v>0</v>
      </c>
      <c r="K214" s="25">
        <f>IF(G214&lt;I214,G214,I214)</f>
        <v>280</v>
      </c>
      <c r="L214" s="25">
        <f>IF(H214&lt;J214,H214,J214)</f>
        <v>0</v>
      </c>
      <c r="M214" s="25">
        <f>IF(I214&lt;K214,I214,K214)</f>
        <v>280</v>
      </c>
      <c r="N214" s="25">
        <f>IF(J214&lt;L214,J214,L214)</f>
        <v>0</v>
      </c>
    </row>
    <row r="215" spans="1:14" ht="18.75">
      <c r="A215" s="10">
        <v>24</v>
      </c>
      <c r="B215" s="10"/>
      <c r="C215" s="11"/>
      <c r="D215" s="12" t="s">
        <v>265</v>
      </c>
      <c r="E215" s="25">
        <v>235</v>
      </c>
      <c r="F215" s="25">
        <v>0</v>
      </c>
      <c r="G215" s="25">
        <v>952.53</v>
      </c>
      <c r="H215" s="25">
        <v>95</v>
      </c>
      <c r="I215" s="25">
        <f t="shared" si="157"/>
        <v>940</v>
      </c>
      <c r="J215" s="25">
        <f t="shared" si="157"/>
        <v>0</v>
      </c>
      <c r="K215" s="25">
        <f>IF(G215&lt;I215,G215,I215)</f>
        <v>940</v>
      </c>
      <c r="L215" s="32">
        <f>IF(H215&lt;J215,H215,J215)+95</f>
        <v>95</v>
      </c>
      <c r="M215" s="25">
        <f>IF(I215&lt;K215,I215,K215)</f>
        <v>940</v>
      </c>
      <c r="N215" s="32">
        <f>IF(J215&lt;L215,J215,L215)+95</f>
        <v>95</v>
      </c>
    </row>
    <row r="216" spans="1:14" ht="18.75">
      <c r="A216" s="10">
        <v>25</v>
      </c>
      <c r="B216" s="10"/>
      <c r="C216" s="11"/>
      <c r="D216" s="12" t="s">
        <v>266</v>
      </c>
      <c r="E216" s="25">
        <v>180</v>
      </c>
      <c r="F216" s="25">
        <v>0</v>
      </c>
      <c r="G216" s="25">
        <v>835.29</v>
      </c>
      <c r="H216" s="25"/>
      <c r="I216" s="25">
        <f t="shared" si="157"/>
        <v>720</v>
      </c>
      <c r="J216" s="25">
        <f t="shared" si="157"/>
        <v>0</v>
      </c>
      <c r="K216" s="25">
        <f>IF(G216&lt;I216,G216,I216)</f>
        <v>720</v>
      </c>
      <c r="L216" s="25">
        <f>IF(H216&lt;J216,H216,J216)</f>
        <v>0</v>
      </c>
      <c r="M216" s="25">
        <f>IF(I216&lt;K216,I216,K216)</f>
        <v>720</v>
      </c>
      <c r="N216" s="25">
        <f>IF(J216&lt;L216,J216,L216)</f>
        <v>0</v>
      </c>
    </row>
    <row r="217" spans="1:14" ht="18.75">
      <c r="A217" s="14"/>
      <c r="B217" s="14" t="s">
        <v>267</v>
      </c>
      <c r="C217" s="15" t="s">
        <v>73</v>
      </c>
      <c r="D217" s="16" t="s">
        <v>265</v>
      </c>
      <c r="E217" s="17">
        <f t="shared" ref="E217:H217" si="158">+E215+E216</f>
        <v>415</v>
      </c>
      <c r="F217" s="17">
        <f t="shared" si="158"/>
        <v>0</v>
      </c>
      <c r="G217" s="17">
        <f t="shared" si="158"/>
        <v>1787.82</v>
      </c>
      <c r="H217" s="17">
        <f t="shared" si="158"/>
        <v>95</v>
      </c>
      <c r="I217" s="17">
        <f t="shared" ref="I217:N217" si="159">+I215+I216</f>
        <v>1660</v>
      </c>
      <c r="J217" s="17">
        <f t="shared" si="159"/>
        <v>0</v>
      </c>
      <c r="K217" s="17">
        <f t="shared" si="159"/>
        <v>1660</v>
      </c>
      <c r="L217" s="17">
        <f t="shared" si="159"/>
        <v>95</v>
      </c>
      <c r="M217" s="17">
        <f t="shared" si="159"/>
        <v>1660</v>
      </c>
      <c r="N217" s="17">
        <f t="shared" si="159"/>
        <v>95</v>
      </c>
    </row>
    <row r="218" spans="1:14" ht="18.75">
      <c r="A218" s="14">
        <v>26</v>
      </c>
      <c r="B218" s="14"/>
      <c r="C218" s="15"/>
      <c r="D218" s="12" t="s">
        <v>268</v>
      </c>
      <c r="E218" s="25">
        <v>328</v>
      </c>
      <c r="F218" s="25">
        <v>12</v>
      </c>
      <c r="G218" s="25">
        <v>1420</v>
      </c>
      <c r="H218" s="25">
        <v>250</v>
      </c>
      <c r="I218" s="25">
        <f t="shared" ref="I218:J220" si="160">ROUND(E218/3*12,2)</f>
        <v>1312</v>
      </c>
      <c r="J218" s="25">
        <f t="shared" si="160"/>
        <v>48</v>
      </c>
      <c r="K218" s="25">
        <f>IF(G218&lt;I218,G218,I218)</f>
        <v>1312</v>
      </c>
      <c r="L218" s="30">
        <f>IF(H218&lt;J218,H218,J218)+272</f>
        <v>320</v>
      </c>
      <c r="M218" s="25">
        <v>1670</v>
      </c>
      <c r="N218" s="30">
        <f>IF(J218&lt;L218,J218,L218)+272</f>
        <v>320</v>
      </c>
    </row>
    <row r="219" spans="1:14" ht="37.5">
      <c r="A219" s="10">
        <v>27</v>
      </c>
      <c r="B219" s="10"/>
      <c r="C219" s="11"/>
      <c r="D219" s="12" t="s">
        <v>269</v>
      </c>
      <c r="E219" s="25">
        <f>685-70</f>
        <v>615</v>
      </c>
      <c r="F219" s="25">
        <v>0</v>
      </c>
      <c r="G219" s="25">
        <v>2131.13</v>
      </c>
      <c r="H219" s="25"/>
      <c r="I219" s="25">
        <f t="shared" si="160"/>
        <v>2460</v>
      </c>
      <c r="J219" s="25">
        <f t="shared" si="160"/>
        <v>0</v>
      </c>
      <c r="K219" s="25">
        <f>IF(G219&lt;I219,G219,I219)</f>
        <v>2131.13</v>
      </c>
      <c r="L219" s="25">
        <f>IF(H219&lt;J219,H219,J219)</f>
        <v>0</v>
      </c>
      <c r="M219" s="25">
        <v>2740</v>
      </c>
      <c r="N219" s="25">
        <f>IF(J219&lt;L219,J219,L219)</f>
        <v>0</v>
      </c>
    </row>
    <row r="220" spans="1:14" ht="37.5">
      <c r="A220" s="10">
        <v>28</v>
      </c>
      <c r="B220" s="10"/>
      <c r="C220" s="11"/>
      <c r="D220" s="12" t="s">
        <v>270</v>
      </c>
      <c r="E220" s="25">
        <v>0</v>
      </c>
      <c r="F220" s="25">
        <v>0</v>
      </c>
      <c r="G220" s="25"/>
      <c r="H220" s="25"/>
      <c r="I220" s="25">
        <f t="shared" si="160"/>
        <v>0</v>
      </c>
      <c r="J220" s="25">
        <f t="shared" si="160"/>
        <v>0</v>
      </c>
      <c r="K220" s="25">
        <f>IF(G220&lt;I220,G220,I220)</f>
        <v>0</v>
      </c>
      <c r="L220" s="25">
        <f>IF(H220&lt;J220,H220,J220)</f>
        <v>0</v>
      </c>
      <c r="M220" s="25">
        <v>0</v>
      </c>
      <c r="N220" s="25">
        <f>IF(J220&lt;L220,J220,L220)</f>
        <v>0</v>
      </c>
    </row>
    <row r="221" spans="1:14" ht="18.75">
      <c r="A221" s="14"/>
      <c r="B221" s="14" t="s">
        <v>271</v>
      </c>
      <c r="C221" s="15" t="s">
        <v>36</v>
      </c>
      <c r="D221" s="16" t="s">
        <v>268</v>
      </c>
      <c r="E221" s="17">
        <f t="shared" ref="E221:H221" si="161">+E218+E219+E220</f>
        <v>943</v>
      </c>
      <c r="F221" s="17">
        <f t="shared" si="161"/>
        <v>12</v>
      </c>
      <c r="G221" s="17">
        <f t="shared" si="161"/>
        <v>3551.13</v>
      </c>
      <c r="H221" s="17">
        <f t="shared" si="161"/>
        <v>250</v>
      </c>
      <c r="I221" s="17">
        <f t="shared" ref="I221:N221" si="162">+I218+I219+I220</f>
        <v>3772</v>
      </c>
      <c r="J221" s="17">
        <f t="shared" si="162"/>
        <v>48</v>
      </c>
      <c r="K221" s="17">
        <f t="shared" si="162"/>
        <v>3443.13</v>
      </c>
      <c r="L221" s="17">
        <f t="shared" si="162"/>
        <v>320</v>
      </c>
      <c r="M221" s="17">
        <f t="shared" si="162"/>
        <v>4410</v>
      </c>
      <c r="N221" s="17">
        <f t="shared" si="162"/>
        <v>320</v>
      </c>
    </row>
    <row r="222" spans="1:14" ht="18.75">
      <c r="A222" s="14">
        <v>29</v>
      </c>
      <c r="B222" s="14" t="s">
        <v>272</v>
      </c>
      <c r="C222" s="15" t="s">
        <v>9</v>
      </c>
      <c r="D222" s="16" t="s">
        <v>273</v>
      </c>
      <c r="E222" s="25">
        <v>210</v>
      </c>
      <c r="F222" s="25">
        <v>0</v>
      </c>
      <c r="G222" s="25">
        <v>720</v>
      </c>
      <c r="H222" s="25">
        <v>0</v>
      </c>
      <c r="I222" s="25">
        <f>ROUND(E222/3*12,2)</f>
        <v>840</v>
      </c>
      <c r="J222" s="25">
        <f>ROUND(F222/3*12,2)</f>
        <v>0</v>
      </c>
      <c r="K222" s="25">
        <f>IF(G222&lt;I222,G222,I222)</f>
        <v>720</v>
      </c>
      <c r="L222" s="25">
        <f>IF(H222&lt;J222,H222,J222)</f>
        <v>0</v>
      </c>
      <c r="M222" s="25">
        <v>760</v>
      </c>
      <c r="N222" s="25">
        <v>0</v>
      </c>
    </row>
    <row r="223" spans="1:14" ht="18.75">
      <c r="A223" s="14"/>
      <c r="B223" s="14"/>
      <c r="C223" s="15"/>
      <c r="D223" s="16" t="s">
        <v>274</v>
      </c>
      <c r="E223" s="13">
        <f t="shared" ref="E223:H223" si="163">+E222+E221+E217+E214+E213+E205+E206+E209+E196+E197+E198+E195+E192+E191+E187</f>
        <v>12052.41</v>
      </c>
      <c r="F223" s="13">
        <f t="shared" si="163"/>
        <v>3302</v>
      </c>
      <c r="G223" s="13">
        <f t="shared" si="163"/>
        <v>50758.47</v>
      </c>
      <c r="H223" s="13">
        <f t="shared" si="163"/>
        <v>16810.79</v>
      </c>
      <c r="I223" s="13">
        <f t="shared" ref="I223:N223" si="164">+I222+I221+I217+I214+I213+I205+I206+I209+I196+I197+I198+I195+I192+I191+I187</f>
        <v>48209.64</v>
      </c>
      <c r="J223" s="13">
        <f t="shared" si="164"/>
        <v>13383</v>
      </c>
      <c r="K223" s="13">
        <f t="shared" si="164"/>
        <v>47112.770000000004</v>
      </c>
      <c r="L223" s="13">
        <f t="shared" si="164"/>
        <v>13843</v>
      </c>
      <c r="M223" s="13">
        <f t="shared" si="164"/>
        <v>49159.64</v>
      </c>
      <c r="N223" s="13">
        <f t="shared" si="164"/>
        <v>15418</v>
      </c>
    </row>
    <row r="224" spans="1:14" ht="18.75">
      <c r="A224" s="14">
        <v>30</v>
      </c>
      <c r="B224" s="14"/>
      <c r="C224" s="15"/>
      <c r="D224" s="16" t="s">
        <v>275</v>
      </c>
      <c r="E224" s="25">
        <v>0</v>
      </c>
      <c r="F224" s="25">
        <v>0</v>
      </c>
      <c r="G224" s="25">
        <v>0</v>
      </c>
      <c r="H224" s="25">
        <v>0</v>
      </c>
      <c r="I224" s="25">
        <f>ROUND(E224/3*12,2)</f>
        <v>0</v>
      </c>
      <c r="J224" s="25">
        <f>ROUND(F224/3*12,2)</f>
        <v>0</v>
      </c>
      <c r="K224" s="25">
        <f>IF(G224&lt;I224,G224,I224)</f>
        <v>0</v>
      </c>
      <c r="L224" s="25">
        <f>IF(H224&lt;J224,H224,J224)</f>
        <v>0</v>
      </c>
      <c r="M224" s="25">
        <v>0</v>
      </c>
      <c r="N224" s="25">
        <v>0</v>
      </c>
    </row>
    <row r="225" spans="1:14" ht="18.75">
      <c r="A225" s="14"/>
      <c r="B225" s="14" t="s">
        <v>276</v>
      </c>
      <c r="C225" s="15"/>
      <c r="D225" s="16" t="s">
        <v>277</v>
      </c>
      <c r="E225" s="13">
        <f t="shared" ref="E225:H225" si="165">E224</f>
        <v>0</v>
      </c>
      <c r="F225" s="13">
        <f t="shared" si="165"/>
        <v>0</v>
      </c>
      <c r="G225" s="13">
        <f t="shared" si="165"/>
        <v>0</v>
      </c>
      <c r="H225" s="13">
        <f t="shared" si="165"/>
        <v>0</v>
      </c>
      <c r="I225" s="13">
        <f t="shared" ref="I225:N225" si="166">I224</f>
        <v>0</v>
      </c>
      <c r="J225" s="13">
        <f t="shared" si="166"/>
        <v>0</v>
      </c>
      <c r="K225" s="13">
        <f t="shared" si="166"/>
        <v>0</v>
      </c>
      <c r="L225" s="13">
        <f t="shared" si="166"/>
        <v>0</v>
      </c>
      <c r="M225" s="13">
        <f t="shared" si="166"/>
        <v>0</v>
      </c>
      <c r="N225" s="13">
        <f t="shared" si="166"/>
        <v>0</v>
      </c>
    </row>
    <row r="226" spans="1:14" ht="18.75">
      <c r="A226" s="10">
        <v>1</v>
      </c>
      <c r="B226" s="10"/>
      <c r="C226" s="11"/>
      <c r="D226" s="12" t="s">
        <v>278</v>
      </c>
      <c r="E226" s="25">
        <v>630</v>
      </c>
      <c r="F226" s="25">
        <v>638</v>
      </c>
      <c r="G226" s="25">
        <v>2500</v>
      </c>
      <c r="H226" s="25">
        <v>2200</v>
      </c>
      <c r="I226" s="25">
        <f>ROUND(E226/3*12,2)</f>
        <v>2520</v>
      </c>
      <c r="J226" s="25">
        <f>ROUND(F226/3*12,2)</f>
        <v>2552</v>
      </c>
      <c r="K226" s="25">
        <f>IF(G226&lt;I226,G226,I226)</f>
        <v>2500</v>
      </c>
      <c r="L226" s="25">
        <f>IF(H226&lt;J226,H226,J226)</f>
        <v>2200</v>
      </c>
      <c r="M226" s="25">
        <v>2625</v>
      </c>
      <c r="N226" s="25">
        <v>2270</v>
      </c>
    </row>
    <row r="227" spans="1:14" ht="18.75">
      <c r="A227" s="10">
        <v>2</v>
      </c>
      <c r="B227" s="10"/>
      <c r="C227" s="11"/>
      <c r="D227" s="12" t="s">
        <v>279</v>
      </c>
      <c r="E227" s="25">
        <v>0</v>
      </c>
      <c r="F227" s="25">
        <v>0</v>
      </c>
      <c r="G227" s="25"/>
      <c r="H227" s="25"/>
      <c r="I227" s="25">
        <f>ROUND(E227/3*12,2)</f>
        <v>0</v>
      </c>
      <c r="J227" s="25">
        <f>ROUND(F227/3*12,2)</f>
        <v>0</v>
      </c>
      <c r="K227" s="25">
        <f>IF(G227&lt;I227,G227,I227)</f>
        <v>0</v>
      </c>
      <c r="L227" s="25">
        <f>IF(H227&lt;J227,H227,J227)</f>
        <v>0</v>
      </c>
      <c r="M227" s="25">
        <f>IF(I227&lt;K227,I227,K227)</f>
        <v>0</v>
      </c>
      <c r="N227" s="25">
        <f>IF(J227&lt;L227,J227,L227)</f>
        <v>0</v>
      </c>
    </row>
    <row r="228" spans="1:14" ht="18.75">
      <c r="A228" s="14"/>
      <c r="B228" s="14" t="s">
        <v>280</v>
      </c>
      <c r="C228" s="15" t="s">
        <v>50</v>
      </c>
      <c r="D228" s="16" t="s">
        <v>278</v>
      </c>
      <c r="E228" s="17">
        <f t="shared" ref="E228:H228" si="167">+E226+E227</f>
        <v>630</v>
      </c>
      <c r="F228" s="17">
        <f t="shared" si="167"/>
        <v>638</v>
      </c>
      <c r="G228" s="17">
        <f t="shared" si="167"/>
        <v>2500</v>
      </c>
      <c r="H228" s="17">
        <f t="shared" si="167"/>
        <v>2200</v>
      </c>
      <c r="I228" s="17">
        <f t="shared" ref="I228:N228" si="168">+I226+I227</f>
        <v>2520</v>
      </c>
      <c r="J228" s="17">
        <f t="shared" si="168"/>
        <v>2552</v>
      </c>
      <c r="K228" s="17">
        <f t="shared" si="168"/>
        <v>2500</v>
      </c>
      <c r="L228" s="17">
        <f t="shared" si="168"/>
        <v>2200</v>
      </c>
      <c r="M228" s="17">
        <f t="shared" si="168"/>
        <v>2625</v>
      </c>
      <c r="N228" s="17">
        <f t="shared" si="168"/>
        <v>2270</v>
      </c>
    </row>
    <row r="229" spans="1:14" ht="18.75">
      <c r="A229" s="14">
        <v>3</v>
      </c>
      <c r="B229" s="14" t="s">
        <v>281</v>
      </c>
      <c r="C229" s="15" t="s">
        <v>13</v>
      </c>
      <c r="D229" s="16" t="s">
        <v>282</v>
      </c>
      <c r="E229" s="25">
        <v>807</v>
      </c>
      <c r="F229" s="29">
        <f>2464-200-64-20</f>
        <v>2180</v>
      </c>
      <c r="G229" s="25">
        <v>3020</v>
      </c>
      <c r="H229" s="25">
        <v>7500</v>
      </c>
      <c r="I229" s="25">
        <f t="shared" ref="I229:J234" si="169">ROUND(E229/3*12,2)</f>
        <v>3228</v>
      </c>
      <c r="J229" s="25">
        <f t="shared" si="169"/>
        <v>8720</v>
      </c>
      <c r="K229" s="25">
        <f t="shared" ref="K229:L234" si="170">IF(G229&lt;I229,G229,I229)</f>
        <v>3020</v>
      </c>
      <c r="L229" s="25">
        <f t="shared" si="170"/>
        <v>7500</v>
      </c>
      <c r="M229" s="25">
        <v>3260</v>
      </c>
      <c r="N229" s="25">
        <v>8850</v>
      </c>
    </row>
    <row r="230" spans="1:14" ht="18.75">
      <c r="A230" s="14">
        <v>4</v>
      </c>
      <c r="B230" s="14" t="s">
        <v>283</v>
      </c>
      <c r="C230" s="15" t="s">
        <v>17</v>
      </c>
      <c r="D230" s="16" t="s">
        <v>284</v>
      </c>
      <c r="E230" s="25">
        <v>850</v>
      </c>
      <c r="F230" s="29">
        <f>158-58</f>
        <v>100</v>
      </c>
      <c r="G230" s="25">
        <v>3250</v>
      </c>
      <c r="H230" s="25">
        <v>340</v>
      </c>
      <c r="I230" s="25">
        <f t="shared" si="169"/>
        <v>3400</v>
      </c>
      <c r="J230" s="25">
        <f t="shared" si="169"/>
        <v>400</v>
      </c>
      <c r="K230" s="25">
        <f t="shared" si="170"/>
        <v>3250</v>
      </c>
      <c r="L230" s="25">
        <f t="shared" si="170"/>
        <v>340</v>
      </c>
      <c r="M230" s="25">
        <v>3390</v>
      </c>
      <c r="N230" s="25">
        <v>575</v>
      </c>
    </row>
    <row r="231" spans="1:14" ht="18.75">
      <c r="A231" s="14">
        <v>5</v>
      </c>
      <c r="B231" s="14" t="s">
        <v>285</v>
      </c>
      <c r="C231" s="15" t="s">
        <v>9</v>
      </c>
      <c r="D231" s="16" t="s">
        <v>286</v>
      </c>
      <c r="E231" s="29">
        <f>950</f>
        <v>950</v>
      </c>
      <c r="F231" s="29">
        <f>1050-200</f>
        <v>850</v>
      </c>
      <c r="G231" s="25">
        <v>3954.92</v>
      </c>
      <c r="H231" s="25">
        <v>3695</v>
      </c>
      <c r="I231" s="25">
        <f t="shared" si="169"/>
        <v>3800</v>
      </c>
      <c r="J231" s="25">
        <f t="shared" si="169"/>
        <v>3400</v>
      </c>
      <c r="K231" s="25">
        <f t="shared" si="170"/>
        <v>3800</v>
      </c>
      <c r="L231" s="25">
        <f t="shared" si="170"/>
        <v>3400</v>
      </c>
      <c r="M231" s="25">
        <f>IF(I231&lt;K231,I231,K231)</f>
        <v>3800</v>
      </c>
      <c r="N231" s="25">
        <f>IF(J231&lt;L231,J231,L231)</f>
        <v>3400</v>
      </c>
    </row>
    <row r="232" spans="1:14" ht="18.75">
      <c r="A232" s="14">
        <v>6</v>
      </c>
      <c r="B232" s="14" t="s">
        <v>287</v>
      </c>
      <c r="C232" s="15" t="s">
        <v>117</v>
      </c>
      <c r="D232" s="16" t="s">
        <v>288</v>
      </c>
      <c r="E232" s="25">
        <v>825</v>
      </c>
      <c r="F232" s="29">
        <f>175-75</f>
        <v>100</v>
      </c>
      <c r="G232" s="25">
        <v>3850</v>
      </c>
      <c r="H232" s="25">
        <v>410</v>
      </c>
      <c r="I232" s="25">
        <f t="shared" si="169"/>
        <v>3300</v>
      </c>
      <c r="J232" s="25">
        <f t="shared" si="169"/>
        <v>400</v>
      </c>
      <c r="K232" s="25">
        <f t="shared" si="170"/>
        <v>3300</v>
      </c>
      <c r="L232" s="25">
        <f t="shared" si="170"/>
        <v>400</v>
      </c>
      <c r="M232" s="25">
        <v>3850</v>
      </c>
      <c r="N232" s="25">
        <v>400</v>
      </c>
    </row>
    <row r="233" spans="1:14" ht="18.75">
      <c r="A233" s="10">
        <v>7</v>
      </c>
      <c r="B233" s="10"/>
      <c r="C233" s="11"/>
      <c r="D233" s="12" t="s">
        <v>289</v>
      </c>
      <c r="E233" s="25">
        <v>1840</v>
      </c>
      <c r="F233" s="29">
        <f>2300-120</f>
        <v>2180</v>
      </c>
      <c r="G233" s="25">
        <v>7350</v>
      </c>
      <c r="H233" s="25">
        <v>8400</v>
      </c>
      <c r="I233" s="25">
        <f t="shared" si="169"/>
        <v>7360</v>
      </c>
      <c r="J233" s="25">
        <f t="shared" si="169"/>
        <v>8720</v>
      </c>
      <c r="K233" s="25">
        <f t="shared" si="170"/>
        <v>7350</v>
      </c>
      <c r="L233" s="25">
        <f t="shared" si="170"/>
        <v>8400</v>
      </c>
      <c r="M233" s="25">
        <f>IF(I233&lt;K233,I233,K233)</f>
        <v>7350</v>
      </c>
      <c r="N233" s="25">
        <f>IF(J233&lt;L233,J233,L233)</f>
        <v>8400</v>
      </c>
    </row>
    <row r="234" spans="1:14" ht="18.75">
      <c r="A234" s="10">
        <v>8</v>
      </c>
      <c r="B234" s="10"/>
      <c r="C234" s="11"/>
      <c r="D234" s="12" t="s">
        <v>290</v>
      </c>
      <c r="E234" s="25">
        <v>0</v>
      </c>
      <c r="F234" s="25">
        <v>0</v>
      </c>
      <c r="G234" s="25"/>
      <c r="H234" s="25"/>
      <c r="I234" s="25">
        <f t="shared" si="169"/>
        <v>0</v>
      </c>
      <c r="J234" s="25">
        <f t="shared" si="169"/>
        <v>0</v>
      </c>
      <c r="K234" s="25">
        <f t="shared" si="170"/>
        <v>0</v>
      </c>
      <c r="L234" s="25">
        <f t="shared" si="170"/>
        <v>0</v>
      </c>
      <c r="M234" s="25">
        <f>IF(I234&lt;K234,I234,K234)</f>
        <v>0</v>
      </c>
      <c r="N234" s="25">
        <f>IF(J234&lt;L234,J234,L234)</f>
        <v>0</v>
      </c>
    </row>
    <row r="235" spans="1:14" ht="18.75">
      <c r="A235" s="14"/>
      <c r="B235" s="14" t="s">
        <v>291</v>
      </c>
      <c r="C235" s="15" t="s">
        <v>117</v>
      </c>
      <c r="D235" s="16" t="s">
        <v>289</v>
      </c>
      <c r="E235" s="17">
        <f t="shared" ref="E235:H235" si="171">+E233+E234</f>
        <v>1840</v>
      </c>
      <c r="F235" s="17">
        <f t="shared" si="171"/>
        <v>2180</v>
      </c>
      <c r="G235" s="17">
        <f t="shared" si="171"/>
        <v>7350</v>
      </c>
      <c r="H235" s="17">
        <f t="shared" si="171"/>
        <v>8400</v>
      </c>
      <c r="I235" s="17">
        <f t="shared" ref="I235:N235" si="172">+I233+I234</f>
        <v>7360</v>
      </c>
      <c r="J235" s="17">
        <f t="shared" si="172"/>
        <v>8720</v>
      </c>
      <c r="K235" s="17">
        <f t="shared" si="172"/>
        <v>7350</v>
      </c>
      <c r="L235" s="17">
        <f t="shared" si="172"/>
        <v>8400</v>
      </c>
      <c r="M235" s="17">
        <f t="shared" si="172"/>
        <v>7350</v>
      </c>
      <c r="N235" s="17">
        <f t="shared" si="172"/>
        <v>8400</v>
      </c>
    </row>
    <row r="236" spans="1:14" ht="18.75">
      <c r="A236" s="10">
        <v>9</v>
      </c>
      <c r="B236" s="10"/>
      <c r="C236" s="11"/>
      <c r="D236" s="12" t="s">
        <v>292</v>
      </c>
      <c r="E236" s="25">
        <v>415</v>
      </c>
      <c r="F236" s="29">
        <f>100-20-0.02</f>
        <v>79.98</v>
      </c>
      <c r="G236" s="25">
        <v>1683.5</v>
      </c>
      <c r="H236" s="25">
        <v>200</v>
      </c>
      <c r="I236" s="25">
        <f>ROUND(E236/3*12,2)</f>
        <v>1660</v>
      </c>
      <c r="J236" s="25">
        <f>ROUND(F236/3*12,2)</f>
        <v>319.92</v>
      </c>
      <c r="K236" s="25">
        <f t="shared" ref="K236:N237" si="173">IF(G236&lt;I236,G236,I236)</f>
        <v>1660</v>
      </c>
      <c r="L236" s="25">
        <f t="shared" si="173"/>
        <v>200</v>
      </c>
      <c r="M236" s="25">
        <f t="shared" si="173"/>
        <v>1660</v>
      </c>
      <c r="N236" s="25">
        <f t="shared" si="173"/>
        <v>200</v>
      </c>
    </row>
    <row r="237" spans="1:14" ht="18.75">
      <c r="A237" s="10">
        <v>10</v>
      </c>
      <c r="B237" s="10"/>
      <c r="C237" s="11"/>
      <c r="D237" s="12" t="s">
        <v>293</v>
      </c>
      <c r="E237" s="25">
        <v>0</v>
      </c>
      <c r="F237" s="25">
        <v>0</v>
      </c>
      <c r="G237" s="25"/>
      <c r="H237" s="25"/>
      <c r="I237" s="25">
        <f>ROUND(E237/3*12,2)</f>
        <v>0</v>
      </c>
      <c r="J237" s="25">
        <f>ROUND(F237/3*12,2)</f>
        <v>0</v>
      </c>
      <c r="K237" s="25">
        <f t="shared" si="173"/>
        <v>0</v>
      </c>
      <c r="L237" s="25">
        <f t="shared" si="173"/>
        <v>0</v>
      </c>
      <c r="M237" s="25">
        <f t="shared" si="173"/>
        <v>0</v>
      </c>
      <c r="N237" s="25">
        <f t="shared" si="173"/>
        <v>0</v>
      </c>
    </row>
    <row r="238" spans="1:14" ht="18.75">
      <c r="A238" s="14"/>
      <c r="B238" s="14" t="s">
        <v>294</v>
      </c>
      <c r="C238" s="15" t="s">
        <v>36</v>
      </c>
      <c r="D238" s="16" t="s">
        <v>292</v>
      </c>
      <c r="E238" s="17">
        <f t="shared" ref="E238:H238" si="174">+E236+E237</f>
        <v>415</v>
      </c>
      <c r="F238" s="17">
        <f t="shared" si="174"/>
        <v>79.98</v>
      </c>
      <c r="G238" s="17">
        <f t="shared" si="174"/>
        <v>1683.5</v>
      </c>
      <c r="H238" s="17">
        <f t="shared" si="174"/>
        <v>200</v>
      </c>
      <c r="I238" s="17">
        <f t="shared" ref="I238:N238" si="175">+I236+I237</f>
        <v>1660</v>
      </c>
      <c r="J238" s="17">
        <f t="shared" si="175"/>
        <v>319.92</v>
      </c>
      <c r="K238" s="17">
        <f t="shared" si="175"/>
        <v>1660</v>
      </c>
      <c r="L238" s="17">
        <f t="shared" si="175"/>
        <v>200</v>
      </c>
      <c r="M238" s="17">
        <f t="shared" si="175"/>
        <v>1660</v>
      </c>
      <c r="N238" s="17">
        <f t="shared" si="175"/>
        <v>200</v>
      </c>
    </row>
    <row r="239" spans="1:14" ht="18.75">
      <c r="A239" s="14">
        <v>11</v>
      </c>
      <c r="B239" s="14" t="s">
        <v>295</v>
      </c>
      <c r="C239" s="15" t="s">
        <v>223</v>
      </c>
      <c r="D239" s="16" t="s">
        <v>296</v>
      </c>
      <c r="E239" s="25">
        <v>209</v>
      </c>
      <c r="F239" s="25">
        <v>0</v>
      </c>
      <c r="G239" s="25">
        <v>760</v>
      </c>
      <c r="H239" s="25">
        <v>40</v>
      </c>
      <c r="I239" s="25">
        <f>ROUND(E239/3*12,2)</f>
        <v>836</v>
      </c>
      <c r="J239" s="25">
        <f>ROUND(F239/3*12,2)+40</f>
        <v>40</v>
      </c>
      <c r="K239" s="25">
        <f>IF(G239&lt;I239,G239,I239)</f>
        <v>760</v>
      </c>
      <c r="L239" s="25">
        <f>IF(H239&lt;J239,H239,J239)</f>
        <v>40</v>
      </c>
      <c r="M239" s="25">
        <v>840</v>
      </c>
      <c r="N239" s="25">
        <v>60</v>
      </c>
    </row>
    <row r="240" spans="1:14" ht="18.75">
      <c r="A240" s="14"/>
      <c r="B240" s="14"/>
      <c r="C240" s="15"/>
      <c r="D240" s="16" t="s">
        <v>297</v>
      </c>
      <c r="E240" s="13">
        <f t="shared" ref="E240:H240" si="176">+E239+E238+E235+E232+E231+E230+E229+E228</f>
        <v>6526</v>
      </c>
      <c r="F240" s="13">
        <f t="shared" si="176"/>
        <v>6127.98</v>
      </c>
      <c r="G240" s="13">
        <f t="shared" si="176"/>
        <v>26368.42</v>
      </c>
      <c r="H240" s="13">
        <f t="shared" si="176"/>
        <v>22785</v>
      </c>
      <c r="I240" s="13">
        <f t="shared" ref="I240:N240" si="177">+I239+I238+I235+I232+I231+I230+I229+I228</f>
        <v>26104</v>
      </c>
      <c r="J240" s="13">
        <f t="shared" si="177"/>
        <v>24551.919999999998</v>
      </c>
      <c r="K240" s="13">
        <f t="shared" si="177"/>
        <v>25640</v>
      </c>
      <c r="L240" s="13">
        <f t="shared" si="177"/>
        <v>22480</v>
      </c>
      <c r="M240" s="13">
        <f t="shared" si="177"/>
        <v>26775</v>
      </c>
      <c r="N240" s="13">
        <f t="shared" si="177"/>
        <v>24155</v>
      </c>
    </row>
    <row r="241" spans="1:14" ht="18.75">
      <c r="A241" s="10">
        <v>1</v>
      </c>
      <c r="B241" s="10"/>
      <c r="C241" s="11"/>
      <c r="D241" s="12" t="s">
        <v>298</v>
      </c>
      <c r="E241" s="25">
        <v>735</v>
      </c>
      <c r="F241" s="29">
        <f>606.5-56.5</f>
        <v>550</v>
      </c>
      <c r="G241" s="25">
        <v>3390</v>
      </c>
      <c r="H241" s="25">
        <v>2800</v>
      </c>
      <c r="I241" s="25">
        <f t="shared" ref="I241:J247" si="178">ROUND(E241/3*12,2)</f>
        <v>2940</v>
      </c>
      <c r="J241" s="25">
        <f t="shared" si="178"/>
        <v>2200</v>
      </c>
      <c r="K241" s="25">
        <f t="shared" ref="K241:L247" si="179">IF(G241&lt;I241,G241,I241)</f>
        <v>2940</v>
      </c>
      <c r="L241" s="25">
        <f t="shared" si="179"/>
        <v>2200</v>
      </c>
      <c r="M241" s="25">
        <v>3125</v>
      </c>
      <c r="N241" s="25">
        <v>2800</v>
      </c>
    </row>
    <row r="242" spans="1:14" ht="18.75">
      <c r="A242" s="10">
        <v>2</v>
      </c>
      <c r="B242" s="10"/>
      <c r="C242" s="11"/>
      <c r="D242" s="12" t="s">
        <v>299</v>
      </c>
      <c r="E242" s="29">
        <f>345-25</f>
        <v>320</v>
      </c>
      <c r="F242" s="25">
        <v>0</v>
      </c>
      <c r="G242" s="25">
        <v>1254.94</v>
      </c>
      <c r="H242" s="25"/>
      <c r="I242" s="25">
        <f t="shared" si="178"/>
        <v>1280</v>
      </c>
      <c r="J242" s="25">
        <f t="shared" si="178"/>
        <v>0</v>
      </c>
      <c r="K242" s="25">
        <f t="shared" si="179"/>
        <v>1254.94</v>
      </c>
      <c r="L242" s="25">
        <f t="shared" si="179"/>
        <v>0</v>
      </c>
      <c r="M242" s="25">
        <f>IF(I242&lt;K242,I242,K242)</f>
        <v>1254.94</v>
      </c>
      <c r="N242" s="25">
        <f>IF(J242&lt;L242,J242,L242)</f>
        <v>0</v>
      </c>
    </row>
    <row r="243" spans="1:14" ht="18.75">
      <c r="A243" s="10">
        <v>3</v>
      </c>
      <c r="B243" s="10"/>
      <c r="C243" s="11"/>
      <c r="D243" s="12" t="s">
        <v>300</v>
      </c>
      <c r="E243" s="25">
        <v>90</v>
      </c>
      <c r="F243" s="25">
        <v>0</v>
      </c>
      <c r="G243" s="25">
        <v>391.66</v>
      </c>
      <c r="H243" s="25"/>
      <c r="I243" s="25">
        <f t="shared" si="178"/>
        <v>360</v>
      </c>
      <c r="J243" s="25">
        <f t="shared" si="178"/>
        <v>0</v>
      </c>
      <c r="K243" s="25">
        <f t="shared" si="179"/>
        <v>360</v>
      </c>
      <c r="L243" s="25">
        <f t="shared" si="179"/>
        <v>0</v>
      </c>
      <c r="M243" s="25">
        <f>IF(I243&lt;K243,I243,K243)</f>
        <v>360</v>
      </c>
      <c r="N243" s="25">
        <f>IF(J243&lt;L243,J243,L243)</f>
        <v>0</v>
      </c>
    </row>
    <row r="244" spans="1:14" ht="18.75">
      <c r="A244" s="10">
        <v>4</v>
      </c>
      <c r="B244" s="10"/>
      <c r="C244" s="11"/>
      <c r="D244" s="12" t="s">
        <v>301</v>
      </c>
      <c r="E244" s="29">
        <f>370-70-50</f>
        <v>250</v>
      </c>
      <c r="F244" s="25">
        <v>0</v>
      </c>
      <c r="G244" s="25">
        <v>1033.21</v>
      </c>
      <c r="H244" s="25"/>
      <c r="I244" s="25">
        <f t="shared" si="178"/>
        <v>1000</v>
      </c>
      <c r="J244" s="25">
        <f t="shared" si="178"/>
        <v>0</v>
      </c>
      <c r="K244" s="25">
        <f t="shared" si="179"/>
        <v>1000</v>
      </c>
      <c r="L244" s="25">
        <f t="shared" si="179"/>
        <v>0</v>
      </c>
      <c r="M244" s="25">
        <v>1050</v>
      </c>
      <c r="N244" s="25">
        <v>0</v>
      </c>
    </row>
    <row r="245" spans="1:14" ht="18.75">
      <c r="A245" s="10">
        <v>5</v>
      </c>
      <c r="B245" s="10"/>
      <c r="C245" s="11"/>
      <c r="D245" s="12" t="s">
        <v>302</v>
      </c>
      <c r="E245" s="25">
        <v>120</v>
      </c>
      <c r="F245" s="25">
        <v>0</v>
      </c>
      <c r="G245" s="25">
        <v>446.35</v>
      </c>
      <c r="H245" s="25"/>
      <c r="I245" s="25">
        <f t="shared" si="178"/>
        <v>480</v>
      </c>
      <c r="J245" s="25">
        <f t="shared" si="178"/>
        <v>0</v>
      </c>
      <c r="K245" s="25">
        <f t="shared" si="179"/>
        <v>446.35</v>
      </c>
      <c r="L245" s="25">
        <f t="shared" si="179"/>
        <v>0</v>
      </c>
      <c r="M245" s="25">
        <f t="shared" ref="M245:N247" si="180">IF(I245&lt;K245,I245,K245)</f>
        <v>446.35</v>
      </c>
      <c r="N245" s="25">
        <f t="shared" si="180"/>
        <v>0</v>
      </c>
    </row>
    <row r="246" spans="1:14" ht="18.75">
      <c r="A246" s="10">
        <v>6</v>
      </c>
      <c r="B246" s="10"/>
      <c r="C246" s="11"/>
      <c r="D246" s="12" t="s">
        <v>303</v>
      </c>
      <c r="E246" s="25">
        <v>0</v>
      </c>
      <c r="F246" s="25">
        <v>0</v>
      </c>
      <c r="G246" s="25"/>
      <c r="H246" s="25"/>
      <c r="I246" s="25">
        <f t="shared" si="178"/>
        <v>0</v>
      </c>
      <c r="J246" s="25">
        <f t="shared" si="178"/>
        <v>0</v>
      </c>
      <c r="K246" s="25">
        <f t="shared" si="179"/>
        <v>0</v>
      </c>
      <c r="L246" s="25">
        <f t="shared" si="179"/>
        <v>0</v>
      </c>
      <c r="M246" s="25">
        <f t="shared" si="180"/>
        <v>0</v>
      </c>
      <c r="N246" s="25">
        <f t="shared" si="180"/>
        <v>0</v>
      </c>
    </row>
    <row r="247" spans="1:14" ht="18.75">
      <c r="A247" s="10">
        <v>7</v>
      </c>
      <c r="B247" s="10"/>
      <c r="C247" s="11"/>
      <c r="D247" s="12" t="s">
        <v>304</v>
      </c>
      <c r="E247" s="25">
        <v>0</v>
      </c>
      <c r="F247" s="25">
        <v>0</v>
      </c>
      <c r="G247" s="25"/>
      <c r="H247" s="25"/>
      <c r="I247" s="25">
        <f t="shared" si="178"/>
        <v>0</v>
      </c>
      <c r="J247" s="25">
        <f t="shared" si="178"/>
        <v>0</v>
      </c>
      <c r="K247" s="25">
        <f t="shared" si="179"/>
        <v>0</v>
      </c>
      <c r="L247" s="25">
        <f t="shared" si="179"/>
        <v>0</v>
      </c>
      <c r="M247" s="25">
        <f t="shared" si="180"/>
        <v>0</v>
      </c>
      <c r="N247" s="25">
        <f t="shared" si="180"/>
        <v>0</v>
      </c>
    </row>
    <row r="248" spans="1:14" ht="18.75">
      <c r="A248" s="14"/>
      <c r="B248" s="14" t="s">
        <v>305</v>
      </c>
      <c r="C248" s="15" t="s">
        <v>73</v>
      </c>
      <c r="D248" s="16" t="s">
        <v>298</v>
      </c>
      <c r="E248" s="34">
        <f t="shared" ref="E248:G248" si="181">+E241+E242+E243+E244+E245+E246+E247</f>
        <v>1515</v>
      </c>
      <c r="F248" s="34">
        <f t="shared" si="181"/>
        <v>550</v>
      </c>
      <c r="G248" s="34">
        <f t="shared" si="181"/>
        <v>6516.1600000000008</v>
      </c>
      <c r="H248" s="34">
        <f t="shared" ref="H248:N248" si="182">+H241+H242+H243+H244+H245+H246+H247</f>
        <v>2800</v>
      </c>
      <c r="I248" s="34">
        <f t="shared" si="182"/>
        <v>6060</v>
      </c>
      <c r="J248" s="34">
        <f t="shared" si="182"/>
        <v>2200</v>
      </c>
      <c r="K248" s="34">
        <f t="shared" si="182"/>
        <v>6001.2900000000009</v>
      </c>
      <c r="L248" s="34">
        <f t="shared" si="182"/>
        <v>2200</v>
      </c>
      <c r="M248" s="34">
        <f t="shared" si="182"/>
        <v>6236.2900000000009</v>
      </c>
      <c r="N248" s="34">
        <f t="shared" si="182"/>
        <v>2800</v>
      </c>
    </row>
    <row r="249" spans="1:14" ht="18.75">
      <c r="A249" s="10">
        <v>8</v>
      </c>
      <c r="B249" s="10"/>
      <c r="C249" s="11"/>
      <c r="D249" s="12" t="s">
        <v>306</v>
      </c>
      <c r="E249" s="25">
        <v>340</v>
      </c>
      <c r="F249" s="25">
        <v>1</v>
      </c>
      <c r="G249" s="25">
        <v>1400</v>
      </c>
      <c r="H249" s="25">
        <v>3</v>
      </c>
      <c r="I249" s="25">
        <f t="shared" ref="I249:J252" si="183">ROUND(E249/3*12,2)</f>
        <v>1360</v>
      </c>
      <c r="J249" s="25">
        <f t="shared" si="183"/>
        <v>4</v>
      </c>
      <c r="K249" s="25">
        <f t="shared" ref="K249:M252" si="184">IF(G249&lt;I249,G249,I249)</f>
        <v>1360</v>
      </c>
      <c r="L249" s="25">
        <f t="shared" si="184"/>
        <v>3</v>
      </c>
      <c r="M249" s="25">
        <f t="shared" si="184"/>
        <v>1360</v>
      </c>
      <c r="N249" s="25">
        <f>IF(J249&lt;L249,J249,L249)+64.5</f>
        <v>67.5</v>
      </c>
    </row>
    <row r="250" spans="1:14" ht="18.75">
      <c r="A250" s="10">
        <v>9</v>
      </c>
      <c r="B250" s="10"/>
      <c r="C250" s="11"/>
      <c r="D250" s="12" t="s">
        <v>307</v>
      </c>
      <c r="E250" s="25">
        <f>75</f>
        <v>75</v>
      </c>
      <c r="F250" s="25">
        <v>0</v>
      </c>
      <c r="G250" s="25">
        <v>302.39999999999998</v>
      </c>
      <c r="H250" s="25"/>
      <c r="I250" s="25">
        <f t="shared" si="183"/>
        <v>300</v>
      </c>
      <c r="J250" s="25">
        <f t="shared" si="183"/>
        <v>0</v>
      </c>
      <c r="K250" s="25">
        <f t="shared" si="184"/>
        <v>300</v>
      </c>
      <c r="L250" s="25">
        <f t="shared" si="184"/>
        <v>0</v>
      </c>
      <c r="M250" s="25">
        <f t="shared" si="184"/>
        <v>300</v>
      </c>
      <c r="N250" s="25">
        <f>IF(J250&lt;L250,J250,L250)</f>
        <v>0</v>
      </c>
    </row>
    <row r="251" spans="1:14" ht="18.75">
      <c r="A251" s="10">
        <v>10</v>
      </c>
      <c r="B251" s="10"/>
      <c r="C251" s="11"/>
      <c r="D251" s="12" t="s">
        <v>308</v>
      </c>
      <c r="E251" s="29">
        <f>582.25-30</f>
        <v>552.25</v>
      </c>
      <c r="F251" s="25">
        <v>0</v>
      </c>
      <c r="G251" s="25">
        <v>3338.2400000000002</v>
      </c>
      <c r="H251" s="25"/>
      <c r="I251" s="25">
        <f t="shared" si="183"/>
        <v>2209</v>
      </c>
      <c r="J251" s="25">
        <f t="shared" si="183"/>
        <v>0</v>
      </c>
      <c r="K251" s="25">
        <f t="shared" si="184"/>
        <v>2209</v>
      </c>
      <c r="L251" s="25">
        <f t="shared" si="184"/>
        <v>0</v>
      </c>
      <c r="M251" s="25">
        <f t="shared" si="184"/>
        <v>2209</v>
      </c>
      <c r="N251" s="25">
        <f>IF(J251&lt;L251,J251,L251)</f>
        <v>0</v>
      </c>
    </row>
    <row r="252" spans="1:14" ht="18.75">
      <c r="A252" s="10">
        <v>11</v>
      </c>
      <c r="B252" s="10"/>
      <c r="C252" s="11"/>
      <c r="D252" s="12" t="s">
        <v>309</v>
      </c>
      <c r="E252" s="25">
        <v>0</v>
      </c>
      <c r="F252" s="25">
        <v>0</v>
      </c>
      <c r="G252" s="25"/>
      <c r="H252" s="25"/>
      <c r="I252" s="25">
        <f t="shared" si="183"/>
        <v>0</v>
      </c>
      <c r="J252" s="25">
        <f t="shared" si="183"/>
        <v>0</v>
      </c>
      <c r="K252" s="25">
        <f t="shared" si="184"/>
        <v>0</v>
      </c>
      <c r="L252" s="25">
        <f t="shared" si="184"/>
        <v>0</v>
      </c>
      <c r="M252" s="25">
        <f t="shared" si="184"/>
        <v>0</v>
      </c>
      <c r="N252" s="25">
        <f>IF(J252&lt;L252,J252,L252)</f>
        <v>0</v>
      </c>
    </row>
    <row r="253" spans="1:14" ht="18.75">
      <c r="A253" s="14">
        <f>SNK10</f>
        <v>0</v>
      </c>
      <c r="B253" s="14" t="s">
        <v>310</v>
      </c>
      <c r="C253" s="15" t="s">
        <v>81</v>
      </c>
      <c r="D253" s="16" t="s">
        <v>306</v>
      </c>
      <c r="E253" s="34">
        <f t="shared" ref="E253:H253" si="185">+E249+E250+E251+E252</f>
        <v>967.25</v>
      </c>
      <c r="F253" s="34">
        <f t="shared" si="185"/>
        <v>1</v>
      </c>
      <c r="G253" s="34">
        <f t="shared" si="185"/>
        <v>5040.6400000000003</v>
      </c>
      <c r="H253" s="34">
        <f t="shared" si="185"/>
        <v>3</v>
      </c>
      <c r="I253" s="34">
        <f t="shared" ref="I253:N253" si="186">+I249+I250+I251+I252</f>
        <v>3869</v>
      </c>
      <c r="J253" s="34">
        <f t="shared" si="186"/>
        <v>4</v>
      </c>
      <c r="K253" s="34">
        <f t="shared" si="186"/>
        <v>3869</v>
      </c>
      <c r="L253" s="34">
        <f t="shared" si="186"/>
        <v>3</v>
      </c>
      <c r="M253" s="34">
        <f t="shared" si="186"/>
        <v>3869</v>
      </c>
      <c r="N253" s="34">
        <f t="shared" si="186"/>
        <v>67.5</v>
      </c>
    </row>
    <row r="254" spans="1:14" ht="18.75">
      <c r="A254" s="10">
        <v>13</v>
      </c>
      <c r="B254" s="10"/>
      <c r="C254" s="11"/>
      <c r="D254" s="12" t="s">
        <v>311</v>
      </c>
      <c r="E254" s="29">
        <f>572.5-50</f>
        <v>522.5</v>
      </c>
      <c r="F254" s="29">
        <f>273.7-173.7-20</f>
        <v>80</v>
      </c>
      <c r="G254" s="25">
        <v>1975.1</v>
      </c>
      <c r="H254" s="25">
        <v>615</v>
      </c>
      <c r="I254" s="25">
        <f>ROUND(E254/3*12,2)</f>
        <v>2090</v>
      </c>
      <c r="J254" s="25">
        <f>ROUND(F254/3*12,2)</f>
        <v>320</v>
      </c>
      <c r="K254" s="25">
        <f t="shared" ref="K254:N255" si="187">IF(G254&lt;I254,G254,I254)</f>
        <v>1975.1</v>
      </c>
      <c r="L254" s="25">
        <f t="shared" si="187"/>
        <v>320</v>
      </c>
      <c r="M254" s="25">
        <f t="shared" si="187"/>
        <v>1975.1</v>
      </c>
      <c r="N254" s="25">
        <f t="shared" si="187"/>
        <v>320</v>
      </c>
    </row>
    <row r="255" spans="1:14" ht="18.75">
      <c r="A255" s="10">
        <v>14</v>
      </c>
      <c r="B255" s="10"/>
      <c r="C255" s="11"/>
      <c r="D255" s="12" t="s">
        <v>312</v>
      </c>
      <c r="E255" s="25">
        <v>0</v>
      </c>
      <c r="F255" s="25">
        <v>0</v>
      </c>
      <c r="G255" s="25"/>
      <c r="H255" s="25"/>
      <c r="I255" s="25">
        <f>ROUND(E255/3*12,2)</f>
        <v>0</v>
      </c>
      <c r="J255" s="25">
        <f>ROUND(F255/3*12,2)</f>
        <v>0</v>
      </c>
      <c r="K255" s="25">
        <f t="shared" si="187"/>
        <v>0</v>
      </c>
      <c r="L255" s="25">
        <f t="shared" si="187"/>
        <v>0</v>
      </c>
      <c r="M255" s="25">
        <f t="shared" si="187"/>
        <v>0</v>
      </c>
      <c r="N255" s="25">
        <f t="shared" si="187"/>
        <v>0</v>
      </c>
    </row>
    <row r="256" spans="1:14" ht="18.75">
      <c r="A256" s="14"/>
      <c r="B256" s="14" t="s">
        <v>313</v>
      </c>
      <c r="C256" s="15" t="s">
        <v>9</v>
      </c>
      <c r="D256" s="16" t="s">
        <v>311</v>
      </c>
      <c r="E256" s="34">
        <f t="shared" ref="E256" si="188">+E254+E255</f>
        <v>522.5</v>
      </c>
      <c r="F256" s="34">
        <f t="shared" ref="F256:N256" si="189">+F254+F255</f>
        <v>80</v>
      </c>
      <c r="G256" s="34">
        <f t="shared" si="189"/>
        <v>1975.1</v>
      </c>
      <c r="H256" s="34">
        <f t="shared" si="189"/>
        <v>615</v>
      </c>
      <c r="I256" s="34">
        <f t="shared" si="189"/>
        <v>2090</v>
      </c>
      <c r="J256" s="34">
        <f t="shared" si="189"/>
        <v>320</v>
      </c>
      <c r="K256" s="34">
        <f t="shared" si="189"/>
        <v>1975.1</v>
      </c>
      <c r="L256" s="34">
        <f t="shared" si="189"/>
        <v>320</v>
      </c>
      <c r="M256" s="34">
        <f t="shared" si="189"/>
        <v>1975.1</v>
      </c>
      <c r="N256" s="34">
        <f t="shared" si="189"/>
        <v>320</v>
      </c>
    </row>
    <row r="257" spans="1:14" ht="18.75">
      <c r="A257" s="10">
        <v>15</v>
      </c>
      <c r="B257" s="10"/>
      <c r="C257" s="11"/>
      <c r="D257" s="12" t="s">
        <v>314</v>
      </c>
      <c r="E257" s="25">
        <v>350</v>
      </c>
      <c r="F257" s="25">
        <v>75</v>
      </c>
      <c r="G257" s="25">
        <v>1520.98</v>
      </c>
      <c r="H257" s="25">
        <v>269.7</v>
      </c>
      <c r="I257" s="25">
        <f t="shared" ref="I257:J259" si="190">ROUND(E257/3*12,2)</f>
        <v>1400</v>
      </c>
      <c r="J257" s="25">
        <f t="shared" si="190"/>
        <v>300</v>
      </c>
      <c r="K257" s="25">
        <f t="shared" ref="K257:N259" si="191">IF(G257&lt;I257,G257,I257)</f>
        <v>1400</v>
      </c>
      <c r="L257" s="25">
        <f t="shared" si="191"/>
        <v>269.7</v>
      </c>
      <c r="M257" s="25">
        <f t="shared" si="191"/>
        <v>1400</v>
      </c>
      <c r="N257" s="25">
        <f t="shared" si="191"/>
        <v>269.7</v>
      </c>
    </row>
    <row r="258" spans="1:14" ht="18.75">
      <c r="A258" s="10">
        <v>16</v>
      </c>
      <c r="B258" s="10"/>
      <c r="C258" s="11"/>
      <c r="D258" s="12" t="s">
        <v>315</v>
      </c>
      <c r="E258" s="25">
        <v>0</v>
      </c>
      <c r="F258" s="25">
        <v>0</v>
      </c>
      <c r="G258" s="25"/>
      <c r="H258" s="25"/>
      <c r="I258" s="25">
        <f t="shared" si="190"/>
        <v>0</v>
      </c>
      <c r="J258" s="25">
        <f t="shared" si="190"/>
        <v>0</v>
      </c>
      <c r="K258" s="25">
        <f t="shared" si="191"/>
        <v>0</v>
      </c>
      <c r="L258" s="25">
        <f t="shared" si="191"/>
        <v>0</v>
      </c>
      <c r="M258" s="25">
        <f t="shared" si="191"/>
        <v>0</v>
      </c>
      <c r="N258" s="25">
        <f t="shared" si="191"/>
        <v>0</v>
      </c>
    </row>
    <row r="259" spans="1:14" ht="18.75">
      <c r="A259" s="10">
        <v>17</v>
      </c>
      <c r="B259" s="10"/>
      <c r="C259" s="11"/>
      <c r="D259" s="12" t="s">
        <v>316</v>
      </c>
      <c r="E259" s="25">
        <v>0</v>
      </c>
      <c r="F259" s="25">
        <v>0</v>
      </c>
      <c r="G259" s="25"/>
      <c r="H259" s="25"/>
      <c r="I259" s="25">
        <f t="shared" si="190"/>
        <v>0</v>
      </c>
      <c r="J259" s="25">
        <f t="shared" si="190"/>
        <v>0</v>
      </c>
      <c r="K259" s="25">
        <f t="shared" si="191"/>
        <v>0</v>
      </c>
      <c r="L259" s="25">
        <f t="shared" si="191"/>
        <v>0</v>
      </c>
      <c r="M259" s="25">
        <f t="shared" si="191"/>
        <v>0</v>
      </c>
      <c r="N259" s="25">
        <f t="shared" si="191"/>
        <v>0</v>
      </c>
    </row>
    <row r="260" spans="1:14" ht="18.75">
      <c r="A260" s="14"/>
      <c r="B260" s="14" t="s">
        <v>317</v>
      </c>
      <c r="C260" s="15" t="s">
        <v>318</v>
      </c>
      <c r="D260" s="16" t="s">
        <v>314</v>
      </c>
      <c r="E260" s="17">
        <f t="shared" ref="E260:H260" si="192">+E257+E258+E259</f>
        <v>350</v>
      </c>
      <c r="F260" s="17">
        <f t="shared" si="192"/>
        <v>75</v>
      </c>
      <c r="G260" s="17">
        <f t="shared" si="192"/>
        <v>1520.98</v>
      </c>
      <c r="H260" s="17">
        <f t="shared" si="192"/>
        <v>269.7</v>
      </c>
      <c r="I260" s="17">
        <f t="shared" ref="I260:N260" si="193">+I257+I258+I259</f>
        <v>1400</v>
      </c>
      <c r="J260" s="17">
        <f t="shared" si="193"/>
        <v>300</v>
      </c>
      <c r="K260" s="17">
        <f t="shared" si="193"/>
        <v>1400</v>
      </c>
      <c r="L260" s="17">
        <f t="shared" si="193"/>
        <v>269.7</v>
      </c>
      <c r="M260" s="17">
        <f t="shared" si="193"/>
        <v>1400</v>
      </c>
      <c r="N260" s="17">
        <f t="shared" si="193"/>
        <v>269.7</v>
      </c>
    </row>
    <row r="261" spans="1:14" ht="18.75">
      <c r="A261" s="14">
        <v>18</v>
      </c>
      <c r="B261" s="14" t="s">
        <v>319</v>
      </c>
      <c r="C261" s="15" t="s">
        <v>13</v>
      </c>
      <c r="D261" s="16" t="s">
        <v>320</v>
      </c>
      <c r="E261" s="25">
        <v>400</v>
      </c>
      <c r="F261" s="25">
        <v>0</v>
      </c>
      <c r="G261" s="25">
        <v>1672</v>
      </c>
      <c r="H261" s="25">
        <v>140</v>
      </c>
      <c r="I261" s="25">
        <f>ROUND(E261/3*12,2)</f>
        <v>1600</v>
      </c>
      <c r="J261" s="25">
        <f>ROUND(F261/3*12,2)</f>
        <v>0</v>
      </c>
      <c r="K261" s="25">
        <f>IF(G261&lt;I261,G261,I261)</f>
        <v>1600</v>
      </c>
      <c r="L261" s="25">
        <f>IF(H261&lt;J261,H261,J261)+120</f>
        <v>120</v>
      </c>
      <c r="M261" s="25">
        <f>IF(I261&lt;K261,I261,K261)</f>
        <v>1600</v>
      </c>
      <c r="N261" s="25">
        <f>IF(J261&lt;L261,J261,L261)+120</f>
        <v>120</v>
      </c>
    </row>
    <row r="262" spans="1:14" ht="18.75">
      <c r="A262" s="14"/>
      <c r="B262" s="14"/>
      <c r="C262" s="15"/>
      <c r="D262" s="16" t="s">
        <v>321</v>
      </c>
      <c r="E262" s="17">
        <f t="shared" ref="E262" si="194">+E261+E260+E256+E253+E248</f>
        <v>3754.75</v>
      </c>
      <c r="F262" s="17">
        <f t="shared" ref="F262:N262" si="195">+F261+F260+F256+F253+F248</f>
        <v>706</v>
      </c>
      <c r="G262" s="17">
        <f t="shared" si="195"/>
        <v>16724.88</v>
      </c>
      <c r="H262" s="17">
        <f t="shared" si="195"/>
        <v>3827.7</v>
      </c>
      <c r="I262" s="17">
        <f t="shared" si="195"/>
        <v>15019</v>
      </c>
      <c r="J262" s="17">
        <f t="shared" si="195"/>
        <v>2824</v>
      </c>
      <c r="K262" s="17">
        <f t="shared" si="195"/>
        <v>14845.390000000001</v>
      </c>
      <c r="L262" s="17">
        <f t="shared" si="195"/>
        <v>2912.7</v>
      </c>
      <c r="M262" s="17">
        <f t="shared" si="195"/>
        <v>15080.390000000001</v>
      </c>
      <c r="N262" s="17">
        <f t="shared" si="195"/>
        <v>3577.2</v>
      </c>
    </row>
    <row r="263" spans="1:14" ht="18.75">
      <c r="A263" s="14">
        <v>1</v>
      </c>
      <c r="B263" s="14" t="s">
        <v>322</v>
      </c>
      <c r="C263" s="15" t="s">
        <v>32</v>
      </c>
      <c r="D263" s="16" t="s">
        <v>323</v>
      </c>
      <c r="E263" s="29">
        <f>1000-150</f>
        <v>850</v>
      </c>
      <c r="F263" s="25">
        <v>130</v>
      </c>
      <c r="G263" s="25">
        <v>3280</v>
      </c>
      <c r="H263" s="25">
        <v>450</v>
      </c>
      <c r="I263" s="25">
        <f>ROUND(E263/3*12,2)</f>
        <v>3400</v>
      </c>
      <c r="J263" s="25">
        <f>ROUND(F263/3*12,2)</f>
        <v>520</v>
      </c>
      <c r="K263" s="25">
        <f t="shared" ref="K263:N264" si="196">IF(G263&lt;I263,G263,I263)</f>
        <v>3280</v>
      </c>
      <c r="L263" s="25">
        <f t="shared" si="196"/>
        <v>450</v>
      </c>
      <c r="M263" s="25">
        <f t="shared" si="196"/>
        <v>3280</v>
      </c>
      <c r="N263" s="25">
        <f t="shared" si="196"/>
        <v>450</v>
      </c>
    </row>
    <row r="264" spans="1:14" ht="18.75">
      <c r="A264" s="14">
        <v>2</v>
      </c>
      <c r="B264" s="14" t="s">
        <v>324</v>
      </c>
      <c r="C264" s="15" t="s">
        <v>32</v>
      </c>
      <c r="D264" s="16" t="s">
        <v>325</v>
      </c>
      <c r="E264" s="25">
        <v>236</v>
      </c>
      <c r="F264" s="25">
        <v>0</v>
      </c>
      <c r="G264" s="25">
        <v>850</v>
      </c>
      <c r="H264" s="25">
        <f>113+4</f>
        <v>117</v>
      </c>
      <c r="I264" s="25">
        <f>ROUND(E264/3*12,2)</f>
        <v>944</v>
      </c>
      <c r="J264" s="25">
        <f>ROUND(F264/3*12,2)+117</f>
        <v>117</v>
      </c>
      <c r="K264" s="25">
        <f t="shared" si="196"/>
        <v>850</v>
      </c>
      <c r="L264" s="25">
        <f t="shared" si="196"/>
        <v>117</v>
      </c>
      <c r="M264" s="25">
        <f t="shared" si="196"/>
        <v>850</v>
      </c>
      <c r="N264" s="25">
        <f t="shared" si="196"/>
        <v>117</v>
      </c>
    </row>
    <row r="265" spans="1:14" ht="18.75">
      <c r="A265" s="14"/>
      <c r="B265" s="14"/>
      <c r="C265" s="15"/>
      <c r="D265" s="16" t="s">
        <v>326</v>
      </c>
      <c r="E265" s="13">
        <f t="shared" ref="E265:H265" si="197">+E263+E264</f>
        <v>1086</v>
      </c>
      <c r="F265" s="13">
        <f t="shared" si="197"/>
        <v>130</v>
      </c>
      <c r="G265" s="13">
        <f t="shared" si="197"/>
        <v>4130</v>
      </c>
      <c r="H265" s="13">
        <f t="shared" si="197"/>
        <v>567</v>
      </c>
      <c r="I265" s="13">
        <f t="shared" ref="I265:N265" si="198">+I263+I264</f>
        <v>4344</v>
      </c>
      <c r="J265" s="13">
        <f t="shared" si="198"/>
        <v>637</v>
      </c>
      <c r="K265" s="13">
        <f t="shared" si="198"/>
        <v>4130</v>
      </c>
      <c r="L265" s="13">
        <f t="shared" si="198"/>
        <v>567</v>
      </c>
      <c r="M265" s="13">
        <f t="shared" si="198"/>
        <v>4130</v>
      </c>
      <c r="N265" s="13">
        <f t="shared" si="198"/>
        <v>567</v>
      </c>
    </row>
    <row r="266" spans="1:14" ht="18.75">
      <c r="A266" s="14">
        <v>1</v>
      </c>
      <c r="B266" s="14" t="s">
        <v>327</v>
      </c>
      <c r="C266" s="15" t="s">
        <v>69</v>
      </c>
      <c r="D266" s="16" t="s">
        <v>328</v>
      </c>
      <c r="E266" s="29">
        <f>700-50</f>
        <v>650</v>
      </c>
      <c r="F266" s="29">
        <f>1175-100-75</f>
        <v>1000</v>
      </c>
      <c r="G266" s="25">
        <v>230</v>
      </c>
      <c r="H266" s="25">
        <v>4000</v>
      </c>
      <c r="I266" s="25">
        <f t="shared" ref="I266:J268" si="199">ROUND(E266/3*12,2)</f>
        <v>2600</v>
      </c>
      <c r="J266" s="25">
        <f t="shared" si="199"/>
        <v>4000</v>
      </c>
      <c r="K266" s="25">
        <f t="shared" ref="K266:L268" si="200">IF(G266&lt;I266,G266,I266)</f>
        <v>230</v>
      </c>
      <c r="L266" s="25">
        <f t="shared" si="200"/>
        <v>4000</v>
      </c>
      <c r="M266" s="25">
        <v>2320</v>
      </c>
      <c r="N266" s="25">
        <f>IF(J266&lt;L266,J266,L266)</f>
        <v>4000</v>
      </c>
    </row>
    <row r="267" spans="1:14" ht="18.75">
      <c r="A267" s="10">
        <v>2</v>
      </c>
      <c r="B267" s="10"/>
      <c r="C267" s="11"/>
      <c r="D267" s="12" t="s">
        <v>329</v>
      </c>
      <c r="E267" s="25">
        <v>185</v>
      </c>
      <c r="F267" s="25">
        <v>70</v>
      </c>
      <c r="G267" s="25">
        <v>729.21</v>
      </c>
      <c r="H267" s="25">
        <f>32.2+37.8</f>
        <v>70</v>
      </c>
      <c r="I267" s="25">
        <f t="shared" si="199"/>
        <v>740</v>
      </c>
      <c r="J267" s="25">
        <f t="shared" si="199"/>
        <v>280</v>
      </c>
      <c r="K267" s="25">
        <f t="shared" si="200"/>
        <v>729.21</v>
      </c>
      <c r="L267" s="25">
        <f t="shared" si="200"/>
        <v>70</v>
      </c>
      <c r="M267" s="25">
        <f>IF(I267&lt;K267,I267,K267)</f>
        <v>729.21</v>
      </c>
      <c r="N267" s="25">
        <v>95</v>
      </c>
    </row>
    <row r="268" spans="1:14" ht="18.75">
      <c r="A268" s="10">
        <v>3</v>
      </c>
      <c r="B268" s="10"/>
      <c r="C268" s="11"/>
      <c r="D268" s="12" t="s">
        <v>330</v>
      </c>
      <c r="E268" s="29">
        <f>435-30</f>
        <v>405</v>
      </c>
      <c r="F268" s="25"/>
      <c r="G268" s="25">
        <v>1012</v>
      </c>
      <c r="H268" s="25"/>
      <c r="I268" s="25">
        <f t="shared" si="199"/>
        <v>1620</v>
      </c>
      <c r="J268" s="25">
        <f t="shared" si="199"/>
        <v>0</v>
      </c>
      <c r="K268" s="25">
        <f t="shared" si="200"/>
        <v>1012</v>
      </c>
      <c r="L268" s="25">
        <f t="shared" si="200"/>
        <v>0</v>
      </c>
      <c r="M268" s="25">
        <f>IF(I268&lt;K268,I268,K268)</f>
        <v>1012</v>
      </c>
      <c r="N268" s="25"/>
    </row>
    <row r="269" spans="1:14" ht="18.75">
      <c r="A269" s="14"/>
      <c r="B269" s="14" t="s">
        <v>331</v>
      </c>
      <c r="C269" s="15" t="s">
        <v>17</v>
      </c>
      <c r="D269" s="16" t="s">
        <v>329</v>
      </c>
      <c r="E269" s="17">
        <f t="shared" ref="E269:H269" si="201">+E267+E268</f>
        <v>590</v>
      </c>
      <c r="F269" s="17">
        <f t="shared" si="201"/>
        <v>70</v>
      </c>
      <c r="G269" s="17">
        <f t="shared" si="201"/>
        <v>1741.21</v>
      </c>
      <c r="H269" s="17">
        <f t="shared" si="201"/>
        <v>70</v>
      </c>
      <c r="I269" s="17">
        <f t="shared" ref="I269:N269" si="202">+I267+I268</f>
        <v>2360</v>
      </c>
      <c r="J269" s="17">
        <f t="shared" si="202"/>
        <v>280</v>
      </c>
      <c r="K269" s="17">
        <f t="shared" si="202"/>
        <v>1741.21</v>
      </c>
      <c r="L269" s="17">
        <f t="shared" si="202"/>
        <v>70</v>
      </c>
      <c r="M269" s="17">
        <f t="shared" si="202"/>
        <v>1741.21</v>
      </c>
      <c r="N269" s="17">
        <f t="shared" si="202"/>
        <v>95</v>
      </c>
    </row>
    <row r="270" spans="1:14" ht="18.75">
      <c r="A270" s="14">
        <v>4</v>
      </c>
      <c r="B270" s="14" t="s">
        <v>332</v>
      </c>
      <c r="C270" s="15" t="s">
        <v>32</v>
      </c>
      <c r="D270" s="16" t="s">
        <v>333</v>
      </c>
      <c r="E270" s="25">
        <v>0</v>
      </c>
      <c r="F270" s="25">
        <v>0</v>
      </c>
      <c r="G270" s="25"/>
      <c r="H270" s="25"/>
      <c r="I270" s="25">
        <f>ROUND(E270/3*12,2)</f>
        <v>0</v>
      </c>
      <c r="J270" s="25">
        <f>ROUND(F270/3*12,2)</f>
        <v>0</v>
      </c>
      <c r="K270" s="25">
        <f>IF(G270&lt;I270,G270,I270)</f>
        <v>0</v>
      </c>
      <c r="L270" s="25">
        <f>IF(H270&lt;J270,H270,J270)</f>
        <v>0</v>
      </c>
      <c r="M270" s="25"/>
      <c r="N270" s="25"/>
    </row>
    <row r="271" spans="1:14" ht="18.75">
      <c r="A271" s="14"/>
      <c r="B271" s="14"/>
      <c r="C271" s="15"/>
      <c r="D271" s="16" t="s">
        <v>334</v>
      </c>
      <c r="E271" s="13">
        <f t="shared" ref="E271:H271" si="203">+E266+E269+E270</f>
        <v>1240</v>
      </c>
      <c r="F271" s="13">
        <f t="shared" si="203"/>
        <v>1070</v>
      </c>
      <c r="G271" s="13">
        <f t="shared" si="203"/>
        <v>1971.21</v>
      </c>
      <c r="H271" s="13">
        <f t="shared" si="203"/>
        <v>4070</v>
      </c>
      <c r="I271" s="13">
        <f t="shared" ref="I271:N271" si="204">+I266+I269+I270</f>
        <v>4960</v>
      </c>
      <c r="J271" s="13">
        <f t="shared" si="204"/>
        <v>4280</v>
      </c>
      <c r="K271" s="13">
        <f t="shared" si="204"/>
        <v>1971.21</v>
      </c>
      <c r="L271" s="13">
        <f t="shared" si="204"/>
        <v>4070</v>
      </c>
      <c r="M271" s="13">
        <f t="shared" si="204"/>
        <v>4061.21</v>
      </c>
      <c r="N271" s="13">
        <f t="shared" si="204"/>
        <v>4095</v>
      </c>
    </row>
    <row r="272" spans="1:14" ht="18.75">
      <c r="A272" s="10">
        <v>1</v>
      </c>
      <c r="B272" s="10"/>
      <c r="C272" s="11"/>
      <c r="D272" s="12" t="s">
        <v>335</v>
      </c>
      <c r="E272" s="25">
        <v>2500</v>
      </c>
      <c r="F272" s="25">
        <v>2295.42</v>
      </c>
      <c r="G272" s="25">
        <v>9845</v>
      </c>
      <c r="H272" s="25">
        <v>10400</v>
      </c>
      <c r="I272" s="25">
        <f t="shared" ref="I272:I285" si="205">ROUND(E272/3*12,2)</f>
        <v>10000</v>
      </c>
      <c r="J272" s="25">
        <f>ROUND(F272/3*12,2)+1218.32</f>
        <v>10400</v>
      </c>
      <c r="K272" s="25">
        <f>IF(G272&lt;I272,G272,I272)</f>
        <v>9845</v>
      </c>
      <c r="L272" s="25">
        <f>IF(H272&lt;J272,H272,J272)</f>
        <v>10400</v>
      </c>
      <c r="M272" s="25">
        <f>IF(I272&lt;K272,I272,K272)</f>
        <v>9845</v>
      </c>
      <c r="N272" s="25">
        <f>IF(J272&lt;L272,J272,L272)</f>
        <v>10400</v>
      </c>
    </row>
    <row r="273" spans="1:14" ht="18.75" hidden="1">
      <c r="A273" s="10">
        <v>2</v>
      </c>
      <c r="B273" s="10"/>
      <c r="C273" s="11"/>
      <c r="D273" s="12" t="s">
        <v>336</v>
      </c>
      <c r="E273" s="25"/>
      <c r="F273" s="25"/>
      <c r="G273" s="25"/>
      <c r="H273" s="25"/>
      <c r="I273" s="25">
        <f t="shared" si="205"/>
        <v>0</v>
      </c>
      <c r="J273" s="25">
        <f t="shared" ref="J273:J285" si="206">ROUND(F273/3*12,2)</f>
        <v>0</v>
      </c>
      <c r="K273" s="25">
        <f t="shared" ref="K273:K285" si="207">IF(G273&lt;I273,G273,I273)</f>
        <v>0</v>
      </c>
      <c r="L273" s="25">
        <f t="shared" ref="L273:L285" si="208">IF(H273&lt;J273,H273,J273)</f>
        <v>0</v>
      </c>
      <c r="M273" s="25"/>
      <c r="N273" s="25"/>
    </row>
    <row r="274" spans="1:14" ht="18.75" hidden="1">
      <c r="A274" s="10">
        <v>3</v>
      </c>
      <c r="B274" s="10"/>
      <c r="C274" s="11"/>
      <c r="D274" s="12" t="s">
        <v>337</v>
      </c>
      <c r="E274" s="25"/>
      <c r="F274" s="25"/>
      <c r="G274" s="25"/>
      <c r="H274" s="25"/>
      <c r="I274" s="25">
        <f t="shared" si="205"/>
        <v>0</v>
      </c>
      <c r="J274" s="25">
        <f t="shared" si="206"/>
        <v>0</v>
      </c>
      <c r="K274" s="25">
        <f t="shared" si="207"/>
        <v>0</v>
      </c>
      <c r="L274" s="25">
        <f t="shared" si="208"/>
        <v>0</v>
      </c>
      <c r="M274" s="25"/>
      <c r="N274" s="25"/>
    </row>
    <row r="275" spans="1:14" ht="18.75" hidden="1">
      <c r="A275" s="10">
        <v>4</v>
      </c>
      <c r="B275" s="10"/>
      <c r="C275" s="11"/>
      <c r="D275" s="12" t="s">
        <v>338</v>
      </c>
      <c r="E275" s="25"/>
      <c r="F275" s="25"/>
      <c r="G275" s="25"/>
      <c r="H275" s="25"/>
      <c r="I275" s="25">
        <f t="shared" si="205"/>
        <v>0</v>
      </c>
      <c r="J275" s="25">
        <f t="shared" si="206"/>
        <v>0</v>
      </c>
      <c r="K275" s="25">
        <f t="shared" si="207"/>
        <v>0</v>
      </c>
      <c r="L275" s="25">
        <f t="shared" si="208"/>
        <v>0</v>
      </c>
      <c r="M275" s="25"/>
      <c r="N275" s="25"/>
    </row>
    <row r="276" spans="1:14" ht="18.75" hidden="1">
      <c r="A276" s="10">
        <v>5</v>
      </c>
      <c r="B276" s="10"/>
      <c r="C276" s="11"/>
      <c r="D276" s="12" t="s">
        <v>339</v>
      </c>
      <c r="E276" s="25"/>
      <c r="F276" s="25"/>
      <c r="G276" s="25"/>
      <c r="H276" s="25"/>
      <c r="I276" s="25">
        <f t="shared" si="205"/>
        <v>0</v>
      </c>
      <c r="J276" s="25">
        <f t="shared" si="206"/>
        <v>0</v>
      </c>
      <c r="K276" s="25">
        <f t="shared" si="207"/>
        <v>0</v>
      </c>
      <c r="L276" s="25">
        <f t="shared" si="208"/>
        <v>0</v>
      </c>
      <c r="M276" s="25"/>
      <c r="N276" s="25"/>
    </row>
    <row r="277" spans="1:14" ht="18.75" hidden="1">
      <c r="A277" s="10">
        <v>6</v>
      </c>
      <c r="B277" s="10"/>
      <c r="C277" s="11"/>
      <c r="D277" s="12" t="s">
        <v>340</v>
      </c>
      <c r="E277" s="25"/>
      <c r="F277" s="25"/>
      <c r="G277" s="25"/>
      <c r="H277" s="25"/>
      <c r="I277" s="25">
        <f t="shared" si="205"/>
        <v>0</v>
      </c>
      <c r="J277" s="25">
        <f t="shared" si="206"/>
        <v>0</v>
      </c>
      <c r="K277" s="25">
        <f t="shared" si="207"/>
        <v>0</v>
      </c>
      <c r="L277" s="25">
        <f t="shared" si="208"/>
        <v>0</v>
      </c>
      <c r="M277" s="25"/>
      <c r="N277" s="25"/>
    </row>
    <row r="278" spans="1:14" ht="18.75" hidden="1">
      <c r="A278" s="10">
        <v>7</v>
      </c>
      <c r="B278" s="10"/>
      <c r="C278" s="11"/>
      <c r="D278" s="12" t="s">
        <v>341</v>
      </c>
      <c r="E278" s="25"/>
      <c r="F278" s="25"/>
      <c r="G278" s="25"/>
      <c r="H278" s="25"/>
      <c r="I278" s="25">
        <f t="shared" si="205"/>
        <v>0</v>
      </c>
      <c r="J278" s="25">
        <f t="shared" si="206"/>
        <v>0</v>
      </c>
      <c r="K278" s="25">
        <f t="shared" si="207"/>
        <v>0</v>
      </c>
      <c r="L278" s="25">
        <f t="shared" si="208"/>
        <v>0</v>
      </c>
      <c r="M278" s="25"/>
      <c r="N278" s="25"/>
    </row>
    <row r="279" spans="1:14" ht="18.75" hidden="1">
      <c r="A279" s="10">
        <v>8</v>
      </c>
      <c r="B279" s="10"/>
      <c r="C279" s="11"/>
      <c r="D279" s="12" t="s">
        <v>342</v>
      </c>
      <c r="E279" s="25"/>
      <c r="F279" s="25"/>
      <c r="G279" s="25"/>
      <c r="H279" s="25"/>
      <c r="I279" s="25">
        <f t="shared" si="205"/>
        <v>0</v>
      </c>
      <c r="J279" s="25">
        <f t="shared" si="206"/>
        <v>0</v>
      </c>
      <c r="K279" s="25">
        <f t="shared" si="207"/>
        <v>0</v>
      </c>
      <c r="L279" s="25">
        <f t="shared" si="208"/>
        <v>0</v>
      </c>
      <c r="M279" s="25"/>
      <c r="N279" s="25"/>
    </row>
    <row r="280" spans="1:14" ht="18.75" hidden="1">
      <c r="A280" s="10">
        <v>9</v>
      </c>
      <c r="B280" s="10"/>
      <c r="C280" s="11"/>
      <c r="D280" s="12" t="s">
        <v>343</v>
      </c>
      <c r="E280" s="25"/>
      <c r="F280" s="25"/>
      <c r="G280" s="25"/>
      <c r="H280" s="25"/>
      <c r="I280" s="25">
        <f t="shared" si="205"/>
        <v>0</v>
      </c>
      <c r="J280" s="25">
        <f t="shared" si="206"/>
        <v>0</v>
      </c>
      <c r="K280" s="25">
        <f t="shared" si="207"/>
        <v>0</v>
      </c>
      <c r="L280" s="25">
        <f t="shared" si="208"/>
        <v>0</v>
      </c>
      <c r="M280" s="25"/>
      <c r="N280" s="25"/>
    </row>
    <row r="281" spans="1:14" ht="37.5" hidden="1">
      <c r="A281" s="10">
        <v>10</v>
      </c>
      <c r="B281" s="10"/>
      <c r="C281" s="11"/>
      <c r="D281" s="12" t="s">
        <v>344</v>
      </c>
      <c r="E281" s="25"/>
      <c r="F281" s="25"/>
      <c r="G281" s="25"/>
      <c r="H281" s="25"/>
      <c r="I281" s="25">
        <f t="shared" si="205"/>
        <v>0</v>
      </c>
      <c r="J281" s="25">
        <f t="shared" si="206"/>
        <v>0</v>
      </c>
      <c r="K281" s="25">
        <f t="shared" si="207"/>
        <v>0</v>
      </c>
      <c r="L281" s="25">
        <f t="shared" si="208"/>
        <v>0</v>
      </c>
      <c r="M281" s="25"/>
      <c r="N281" s="25"/>
    </row>
    <row r="282" spans="1:14" ht="18.75" hidden="1">
      <c r="A282" s="10">
        <v>11</v>
      </c>
      <c r="B282" s="10"/>
      <c r="C282" s="11"/>
      <c r="D282" s="12" t="s">
        <v>345</v>
      </c>
      <c r="E282" s="25"/>
      <c r="F282" s="25"/>
      <c r="G282" s="25"/>
      <c r="H282" s="25"/>
      <c r="I282" s="25">
        <f t="shared" si="205"/>
        <v>0</v>
      </c>
      <c r="J282" s="25">
        <f t="shared" si="206"/>
        <v>0</v>
      </c>
      <c r="K282" s="25">
        <f t="shared" si="207"/>
        <v>0</v>
      </c>
      <c r="L282" s="25">
        <f t="shared" si="208"/>
        <v>0</v>
      </c>
      <c r="M282" s="25"/>
      <c r="N282" s="25"/>
    </row>
    <row r="283" spans="1:14" ht="18.75" hidden="1">
      <c r="A283" s="10"/>
      <c r="B283" s="10"/>
      <c r="C283" s="11"/>
      <c r="D283" s="12" t="s">
        <v>346</v>
      </c>
      <c r="E283" s="25"/>
      <c r="F283" s="25"/>
      <c r="G283" s="25"/>
      <c r="H283" s="25"/>
      <c r="I283" s="25">
        <f t="shared" si="205"/>
        <v>0</v>
      </c>
      <c r="J283" s="25">
        <f t="shared" si="206"/>
        <v>0</v>
      </c>
      <c r="K283" s="25">
        <f t="shared" si="207"/>
        <v>0</v>
      </c>
      <c r="L283" s="25">
        <f t="shared" si="208"/>
        <v>0</v>
      </c>
      <c r="M283" s="25"/>
      <c r="N283" s="25"/>
    </row>
    <row r="284" spans="1:14" ht="18.75" hidden="1">
      <c r="A284" s="10"/>
      <c r="B284" s="10"/>
      <c r="C284" s="11"/>
      <c r="D284" s="12" t="s">
        <v>347</v>
      </c>
      <c r="E284" s="25"/>
      <c r="F284" s="25"/>
      <c r="G284" s="25"/>
      <c r="H284" s="25"/>
      <c r="I284" s="25">
        <f t="shared" si="205"/>
        <v>0</v>
      </c>
      <c r="J284" s="25">
        <f t="shared" si="206"/>
        <v>0</v>
      </c>
      <c r="K284" s="25">
        <f t="shared" si="207"/>
        <v>0</v>
      </c>
      <c r="L284" s="25">
        <f t="shared" si="208"/>
        <v>0</v>
      </c>
      <c r="M284" s="25"/>
      <c r="N284" s="25"/>
    </row>
    <row r="285" spans="1:14" ht="18.75" hidden="1">
      <c r="A285" s="10"/>
      <c r="B285" s="10"/>
      <c r="C285" s="11"/>
      <c r="D285" s="12" t="s">
        <v>348</v>
      </c>
      <c r="E285" s="25"/>
      <c r="F285" s="25"/>
      <c r="G285" s="25"/>
      <c r="H285" s="25"/>
      <c r="I285" s="25">
        <f t="shared" si="205"/>
        <v>0</v>
      </c>
      <c r="J285" s="25">
        <f t="shared" si="206"/>
        <v>0</v>
      </c>
      <c r="K285" s="25">
        <f t="shared" si="207"/>
        <v>0</v>
      </c>
      <c r="L285" s="25">
        <f t="shared" si="208"/>
        <v>0</v>
      </c>
      <c r="M285" s="25"/>
      <c r="N285" s="25"/>
    </row>
    <row r="286" spans="1:14" ht="18.75" hidden="1">
      <c r="A286" s="14"/>
      <c r="B286" s="14" t="s">
        <v>349</v>
      </c>
      <c r="C286" s="15" t="s">
        <v>32</v>
      </c>
      <c r="D286" s="16" t="s">
        <v>335</v>
      </c>
      <c r="E286" s="35">
        <f t="shared" ref="E286:H286" si="209">+E272</f>
        <v>2500</v>
      </c>
      <c r="F286" s="35">
        <f t="shared" si="209"/>
        <v>2295.42</v>
      </c>
      <c r="G286" s="35">
        <f t="shared" si="209"/>
        <v>9845</v>
      </c>
      <c r="H286" s="35">
        <f t="shared" si="209"/>
        <v>10400</v>
      </c>
      <c r="I286" s="35">
        <f t="shared" ref="I286:N286" si="210">+I272</f>
        <v>10000</v>
      </c>
      <c r="J286" s="35">
        <f t="shared" si="210"/>
        <v>10400</v>
      </c>
      <c r="K286" s="35">
        <f t="shared" si="210"/>
        <v>9845</v>
      </c>
      <c r="L286" s="35">
        <f t="shared" si="210"/>
        <v>10400</v>
      </c>
      <c r="M286" s="35">
        <f t="shared" si="210"/>
        <v>9845</v>
      </c>
      <c r="N286" s="35">
        <f t="shared" si="210"/>
        <v>10400</v>
      </c>
    </row>
    <row r="287" spans="1:14" ht="18.75">
      <c r="A287" s="14">
        <v>12</v>
      </c>
      <c r="B287" s="14" t="s">
        <v>350</v>
      </c>
      <c r="C287" s="15" t="s">
        <v>32</v>
      </c>
      <c r="D287" s="16" t="s">
        <v>351</v>
      </c>
      <c r="E287" s="25">
        <v>0</v>
      </c>
      <c r="F287" s="25">
        <v>0</v>
      </c>
      <c r="G287" s="25"/>
      <c r="H287" s="25"/>
      <c r="I287" s="25">
        <f>ROUND(E287/3*12,2)</f>
        <v>0</v>
      </c>
      <c r="J287" s="25">
        <f>ROUND(F287/3*12,2)</f>
        <v>0</v>
      </c>
      <c r="K287" s="25">
        <f>IF(G287&lt;I287,G287,I287)</f>
        <v>0</v>
      </c>
      <c r="L287" s="25">
        <f>IF(H287&lt;J287,H287,J287)</f>
        <v>0</v>
      </c>
      <c r="M287" s="25"/>
      <c r="N287" s="25"/>
    </row>
    <row r="288" spans="1:14" ht="18.75">
      <c r="A288" s="14"/>
      <c r="B288" s="14"/>
      <c r="C288" s="15"/>
      <c r="D288" s="16" t="s">
        <v>352</v>
      </c>
      <c r="E288" s="13">
        <f t="shared" ref="E288:N288" si="211">+E286+E287</f>
        <v>2500</v>
      </c>
      <c r="F288" s="13">
        <f t="shared" si="211"/>
        <v>2295.42</v>
      </c>
      <c r="G288" s="13">
        <f t="shared" si="211"/>
        <v>9845</v>
      </c>
      <c r="H288" s="13">
        <f t="shared" si="211"/>
        <v>10400</v>
      </c>
      <c r="I288" s="13">
        <f t="shared" si="211"/>
        <v>10000</v>
      </c>
      <c r="J288" s="13">
        <f t="shared" si="211"/>
        <v>10400</v>
      </c>
      <c r="K288" s="13">
        <f t="shared" si="211"/>
        <v>9845</v>
      </c>
      <c r="L288" s="13">
        <f t="shared" si="211"/>
        <v>10400</v>
      </c>
      <c r="M288" s="13">
        <f t="shared" si="211"/>
        <v>9845</v>
      </c>
      <c r="N288" s="13">
        <f t="shared" si="211"/>
        <v>10400</v>
      </c>
    </row>
    <row r="289" spans="1:14" ht="18.75">
      <c r="A289" s="10">
        <v>1</v>
      </c>
      <c r="B289" s="14" t="s">
        <v>353</v>
      </c>
      <c r="C289" s="15"/>
      <c r="D289" s="12" t="s">
        <v>354</v>
      </c>
      <c r="E289" s="25">
        <v>12</v>
      </c>
      <c r="F289" s="25">
        <v>0</v>
      </c>
      <c r="G289" s="25"/>
      <c r="H289" s="25"/>
      <c r="I289" s="25">
        <f>ROUND(E289/3*12,2)</f>
        <v>48</v>
      </c>
      <c r="J289" s="25">
        <f>ROUND(F289/3*12,2)</f>
        <v>0</v>
      </c>
      <c r="K289" s="25">
        <v>48</v>
      </c>
      <c r="L289" s="25">
        <f>IF(H289&lt;J289,H289,J289)</f>
        <v>0</v>
      </c>
      <c r="M289" s="25">
        <v>48</v>
      </c>
      <c r="N289" s="25">
        <v>0</v>
      </c>
    </row>
    <row r="290" spans="1:14" ht="18.75">
      <c r="A290" s="14"/>
      <c r="B290" s="14" t="s">
        <v>353</v>
      </c>
      <c r="C290" s="15" t="s">
        <v>32</v>
      </c>
      <c r="D290" s="16" t="s">
        <v>355</v>
      </c>
      <c r="E290" s="17">
        <f t="shared" ref="E290:H290" si="212">E289</f>
        <v>12</v>
      </c>
      <c r="F290" s="17">
        <f t="shared" si="212"/>
        <v>0</v>
      </c>
      <c r="G290" s="17">
        <f t="shared" si="212"/>
        <v>0</v>
      </c>
      <c r="H290" s="17">
        <f t="shared" si="212"/>
        <v>0</v>
      </c>
      <c r="I290" s="17">
        <f t="shared" ref="I290:N290" si="213">I289</f>
        <v>48</v>
      </c>
      <c r="J290" s="17">
        <f t="shared" si="213"/>
        <v>0</v>
      </c>
      <c r="K290" s="17">
        <f t="shared" si="213"/>
        <v>48</v>
      </c>
      <c r="L290" s="17">
        <f t="shared" si="213"/>
        <v>0</v>
      </c>
      <c r="M290" s="17">
        <f t="shared" si="213"/>
        <v>48</v>
      </c>
      <c r="N290" s="17">
        <f t="shared" si="213"/>
        <v>0</v>
      </c>
    </row>
    <row r="291" spans="1:14" ht="18.75">
      <c r="A291" s="14">
        <v>1</v>
      </c>
      <c r="B291" s="14" t="s">
        <v>356</v>
      </c>
      <c r="C291" s="15" t="s">
        <v>32</v>
      </c>
      <c r="D291" s="16" t="s">
        <v>357</v>
      </c>
      <c r="E291" s="29">
        <v>98</v>
      </c>
      <c r="F291" s="25">
        <v>0</v>
      </c>
      <c r="G291" s="25">
        <v>600</v>
      </c>
      <c r="H291" s="25">
        <v>53</v>
      </c>
      <c r="I291" s="25">
        <f t="shared" ref="I291:J295" si="214">ROUND(E291/3*12,2)</f>
        <v>392</v>
      </c>
      <c r="J291" s="25">
        <f t="shared" si="214"/>
        <v>0</v>
      </c>
      <c r="K291" s="25">
        <f t="shared" ref="K291:K307" si="215">IF(G291&lt;I291,G291,I291)</f>
        <v>392</v>
      </c>
      <c r="L291" s="25">
        <f>IF(H291&lt;J291,H291,J291)+53</f>
        <v>53</v>
      </c>
      <c r="M291" s="25">
        <f>IF(I291&lt;K291,I291,K291)</f>
        <v>392</v>
      </c>
      <c r="N291" s="25">
        <f>IF(J291&lt;L291,J291,L291)+53</f>
        <v>53</v>
      </c>
    </row>
    <row r="292" spans="1:14" ht="18.75">
      <c r="A292" s="14">
        <v>2</v>
      </c>
      <c r="B292" s="14" t="s">
        <v>358</v>
      </c>
      <c r="C292" s="15" t="s">
        <v>81</v>
      </c>
      <c r="D292" s="16" t="s">
        <v>359</v>
      </c>
      <c r="E292" s="29">
        <f>3100-100-100</f>
        <v>2900</v>
      </c>
      <c r="F292" s="25">
        <v>0</v>
      </c>
      <c r="G292" s="25">
        <v>11200</v>
      </c>
      <c r="H292" s="25">
        <v>0</v>
      </c>
      <c r="I292" s="25">
        <f t="shared" si="214"/>
        <v>11600</v>
      </c>
      <c r="J292" s="25">
        <f t="shared" si="214"/>
        <v>0</v>
      </c>
      <c r="K292" s="25">
        <f t="shared" si="215"/>
        <v>11200</v>
      </c>
      <c r="L292" s="25">
        <f t="shared" ref="L292:L307" si="216">IF(H292&lt;J292,H292,J292)</f>
        <v>0</v>
      </c>
      <c r="M292" s="25">
        <f>IF(I292&lt;K292,I292,K292)</f>
        <v>11200</v>
      </c>
      <c r="N292" s="25">
        <f>IF(J292&lt;L292,J292,L292)</f>
        <v>0</v>
      </c>
    </row>
    <row r="293" spans="1:14" ht="18.75">
      <c r="A293" s="14">
        <v>3</v>
      </c>
      <c r="B293" s="14" t="s">
        <v>360</v>
      </c>
      <c r="C293" s="15" t="s">
        <v>66</v>
      </c>
      <c r="D293" s="16" t="s">
        <v>361</v>
      </c>
      <c r="E293" s="29">
        <f>2150-100</f>
        <v>2050</v>
      </c>
      <c r="F293" s="25">
        <v>0</v>
      </c>
      <c r="G293" s="25">
        <v>10000</v>
      </c>
      <c r="H293" s="25">
        <v>0</v>
      </c>
      <c r="I293" s="25">
        <f t="shared" si="214"/>
        <v>8200</v>
      </c>
      <c r="J293" s="25">
        <f t="shared" si="214"/>
        <v>0</v>
      </c>
      <c r="K293" s="25">
        <f t="shared" si="215"/>
        <v>8200</v>
      </c>
      <c r="L293" s="25">
        <f t="shared" si="216"/>
        <v>0</v>
      </c>
      <c r="M293" s="25">
        <v>9100</v>
      </c>
      <c r="N293" s="25">
        <v>0</v>
      </c>
    </row>
    <row r="294" spans="1:14" s="26" customFormat="1" ht="18.75">
      <c r="A294" s="14">
        <v>4</v>
      </c>
      <c r="B294" s="14" t="s">
        <v>362</v>
      </c>
      <c r="C294" s="15" t="s">
        <v>36</v>
      </c>
      <c r="D294" s="16" t="s">
        <v>363</v>
      </c>
      <c r="E294" s="29">
        <f>4200-100-100-200</f>
        <v>3800</v>
      </c>
      <c r="F294" s="25">
        <v>23</v>
      </c>
      <c r="G294" s="25">
        <v>13500</v>
      </c>
      <c r="H294" s="25">
        <v>110</v>
      </c>
      <c r="I294" s="25">
        <f t="shared" si="214"/>
        <v>15200</v>
      </c>
      <c r="J294" s="25">
        <f t="shared" si="214"/>
        <v>92</v>
      </c>
      <c r="K294" s="25">
        <f t="shared" si="215"/>
        <v>13500</v>
      </c>
      <c r="L294" s="25">
        <f t="shared" si="216"/>
        <v>92</v>
      </c>
      <c r="M294" s="25">
        <f>IF(I294&lt;K294,I294,K294)</f>
        <v>13500</v>
      </c>
      <c r="N294" s="25">
        <f>IF(J294&lt;L294,J294,L294)</f>
        <v>92</v>
      </c>
    </row>
    <row r="295" spans="1:14" s="26" customFormat="1" ht="18.75">
      <c r="A295" s="14">
        <v>5</v>
      </c>
      <c r="B295" s="14" t="s">
        <v>364</v>
      </c>
      <c r="C295" s="15" t="s">
        <v>159</v>
      </c>
      <c r="D295" s="16" t="s">
        <v>365</v>
      </c>
      <c r="E295" s="29">
        <f>2623-100-123</f>
        <v>2400</v>
      </c>
      <c r="F295" s="25">
        <v>0</v>
      </c>
      <c r="G295" s="25">
        <v>9789.39</v>
      </c>
      <c r="H295" s="25"/>
      <c r="I295" s="25">
        <f t="shared" si="214"/>
        <v>9600</v>
      </c>
      <c r="J295" s="25">
        <f t="shared" si="214"/>
        <v>0</v>
      </c>
      <c r="K295" s="25">
        <f t="shared" si="215"/>
        <v>9600</v>
      </c>
      <c r="L295" s="25">
        <f t="shared" si="216"/>
        <v>0</v>
      </c>
      <c r="M295" s="25">
        <f>IF(I295&lt;K295,I295,K295)</f>
        <v>9600</v>
      </c>
      <c r="N295" s="25">
        <f>IF(J295&lt;L295,J295,L295)</f>
        <v>0</v>
      </c>
    </row>
    <row r="296" spans="1:14" s="26" customFormat="1" ht="18.75">
      <c r="A296" s="14">
        <v>6</v>
      </c>
      <c r="B296" s="14" t="s">
        <v>366</v>
      </c>
      <c r="C296" s="15" t="s">
        <v>13</v>
      </c>
      <c r="D296" s="16" t="s">
        <v>367</v>
      </c>
      <c r="E296" s="29">
        <f>2100-100</f>
        <v>2000</v>
      </c>
      <c r="F296" s="25">
        <v>0</v>
      </c>
      <c r="G296" s="25">
        <v>8300</v>
      </c>
      <c r="H296" s="25">
        <v>25</v>
      </c>
      <c r="I296" s="25">
        <f t="shared" ref="I296:I307" si="217">ROUND(E296/3*12,2)</f>
        <v>8000</v>
      </c>
      <c r="J296" s="25">
        <f>ROUND(F296/3*12,2)+4</f>
        <v>4</v>
      </c>
      <c r="K296" s="25">
        <f t="shared" si="215"/>
        <v>8000</v>
      </c>
      <c r="L296" s="25">
        <f t="shared" si="216"/>
        <v>4</v>
      </c>
      <c r="M296" s="25">
        <f>IF(I296&lt;K296,I296,K296)</f>
        <v>8000</v>
      </c>
      <c r="N296" s="28">
        <f>IF(J296&lt;L296,J296,L296)+34</f>
        <v>38</v>
      </c>
    </row>
    <row r="297" spans="1:14" ht="18.75">
      <c r="A297" s="14">
        <v>7</v>
      </c>
      <c r="B297" s="14" t="s">
        <v>368</v>
      </c>
      <c r="C297" s="15" t="s">
        <v>213</v>
      </c>
      <c r="D297" s="16" t="s">
        <v>369</v>
      </c>
      <c r="E297" s="29">
        <f>1950-100-150</f>
        <v>1700</v>
      </c>
      <c r="F297" s="25">
        <v>18.5</v>
      </c>
      <c r="G297" s="25">
        <v>7800</v>
      </c>
      <c r="H297" s="25">
        <f>0+18.5</f>
        <v>18.5</v>
      </c>
      <c r="I297" s="25">
        <f t="shared" si="217"/>
        <v>6800</v>
      </c>
      <c r="J297" s="25">
        <f>ROUND(F297/3*12,2)</f>
        <v>74</v>
      </c>
      <c r="K297" s="25">
        <f t="shared" si="215"/>
        <v>6800</v>
      </c>
      <c r="L297" s="25">
        <f t="shared" si="216"/>
        <v>18.5</v>
      </c>
      <c r="M297" s="25">
        <f>IF(I297&lt;K297,I297,K297)</f>
        <v>6800</v>
      </c>
      <c r="N297" s="28">
        <f>IF(J297&lt;L297,J297,L297)</f>
        <v>18.5</v>
      </c>
    </row>
    <row r="298" spans="1:14" ht="18.75">
      <c r="A298" s="14">
        <v>8</v>
      </c>
      <c r="B298" s="14" t="s">
        <v>370</v>
      </c>
      <c r="C298" s="15" t="s">
        <v>241</v>
      </c>
      <c r="D298" s="16" t="s">
        <v>371</v>
      </c>
      <c r="E298" s="29">
        <f>1593-100</f>
        <v>1493</v>
      </c>
      <c r="F298" s="25">
        <v>0</v>
      </c>
      <c r="G298" s="25">
        <v>8000</v>
      </c>
      <c r="H298" s="25">
        <v>30</v>
      </c>
      <c r="I298" s="25">
        <f t="shared" si="217"/>
        <v>5972</v>
      </c>
      <c r="J298" s="25">
        <f>ROUND(F298/3*12,2)+3</f>
        <v>3</v>
      </c>
      <c r="K298" s="25">
        <f t="shared" si="215"/>
        <v>5972</v>
      </c>
      <c r="L298" s="25">
        <f t="shared" si="216"/>
        <v>3</v>
      </c>
      <c r="M298" s="25">
        <f>IF(I298&lt;K298,I298,K298)</f>
        <v>5972</v>
      </c>
      <c r="N298" s="28">
        <f>IF(J298&lt;L298,J298,L298)</f>
        <v>3</v>
      </c>
    </row>
    <row r="299" spans="1:14" ht="18.75">
      <c r="A299" s="14">
        <v>9</v>
      </c>
      <c r="B299" s="14" t="s">
        <v>372</v>
      </c>
      <c r="C299" s="15" t="s">
        <v>9</v>
      </c>
      <c r="D299" s="16" t="s">
        <v>373</v>
      </c>
      <c r="E299" s="29">
        <f>3550-100-100</f>
        <v>3350</v>
      </c>
      <c r="F299" s="25">
        <v>0</v>
      </c>
      <c r="G299" s="25">
        <v>12775</v>
      </c>
      <c r="H299" s="25">
        <v>100</v>
      </c>
      <c r="I299" s="25">
        <f t="shared" si="217"/>
        <v>13400</v>
      </c>
      <c r="J299" s="25">
        <f t="shared" ref="J299:J307" si="218">ROUND(F299/3*12,2)</f>
        <v>0</v>
      </c>
      <c r="K299" s="25">
        <f t="shared" si="215"/>
        <v>12775</v>
      </c>
      <c r="L299" s="25">
        <f t="shared" si="216"/>
        <v>0</v>
      </c>
      <c r="M299" s="25">
        <f>IF(I299&lt;K299,I299,K299)</f>
        <v>12775</v>
      </c>
      <c r="N299" s="28">
        <v>105</v>
      </c>
    </row>
    <row r="300" spans="1:14" ht="18.75">
      <c r="A300" s="14">
        <v>10</v>
      </c>
      <c r="B300" s="14" t="s">
        <v>374</v>
      </c>
      <c r="C300" s="15" t="s">
        <v>73</v>
      </c>
      <c r="D300" s="16" t="s">
        <v>375</v>
      </c>
      <c r="E300" s="29">
        <f>2757-100-100-57</f>
        <v>2500</v>
      </c>
      <c r="F300" s="25">
        <v>0</v>
      </c>
      <c r="G300" s="25">
        <v>9644.99</v>
      </c>
      <c r="H300" s="25"/>
      <c r="I300" s="25">
        <f t="shared" si="217"/>
        <v>10000</v>
      </c>
      <c r="J300" s="25">
        <f t="shared" si="218"/>
        <v>0</v>
      </c>
      <c r="K300" s="25">
        <f t="shared" si="215"/>
        <v>9644.99</v>
      </c>
      <c r="L300" s="25">
        <f t="shared" si="216"/>
        <v>0</v>
      </c>
      <c r="M300" s="25">
        <v>10800</v>
      </c>
      <c r="N300" s="28">
        <f>0+25</f>
        <v>25</v>
      </c>
    </row>
    <row r="301" spans="1:14" ht="18.75">
      <c r="A301" s="14">
        <v>11</v>
      </c>
      <c r="B301" s="14" t="s">
        <v>376</v>
      </c>
      <c r="C301" s="15" t="s">
        <v>69</v>
      </c>
      <c r="D301" s="16" t="s">
        <v>377</v>
      </c>
      <c r="E301" s="29">
        <f>2684.75-100</f>
        <v>2584.75</v>
      </c>
      <c r="F301" s="25">
        <v>15</v>
      </c>
      <c r="G301" s="25">
        <v>10250</v>
      </c>
      <c r="H301" s="25">
        <v>45</v>
      </c>
      <c r="I301" s="25">
        <f t="shared" si="217"/>
        <v>10339</v>
      </c>
      <c r="J301" s="25">
        <f t="shared" si="218"/>
        <v>60</v>
      </c>
      <c r="K301" s="25">
        <f t="shared" si="215"/>
        <v>10250</v>
      </c>
      <c r="L301" s="25">
        <f t="shared" si="216"/>
        <v>45</v>
      </c>
      <c r="M301" s="25">
        <v>10486.25</v>
      </c>
      <c r="N301" s="28">
        <v>57.71</v>
      </c>
    </row>
    <row r="302" spans="1:14" ht="18.75">
      <c r="A302" s="14">
        <v>12</v>
      </c>
      <c r="B302" s="14" t="s">
        <v>378</v>
      </c>
      <c r="C302" s="15" t="s">
        <v>77</v>
      </c>
      <c r="D302" s="16" t="s">
        <v>379</v>
      </c>
      <c r="E302" s="29">
        <f>1892.38-100</f>
        <v>1792.38</v>
      </c>
      <c r="F302" s="25">
        <v>1</v>
      </c>
      <c r="G302" s="25">
        <v>8635.49</v>
      </c>
      <c r="H302" s="25">
        <v>6</v>
      </c>
      <c r="I302" s="25">
        <f t="shared" si="217"/>
        <v>7169.52</v>
      </c>
      <c r="J302" s="25">
        <f t="shared" si="218"/>
        <v>4</v>
      </c>
      <c r="K302" s="25">
        <f t="shared" si="215"/>
        <v>7169.52</v>
      </c>
      <c r="L302" s="25">
        <f t="shared" si="216"/>
        <v>4</v>
      </c>
      <c r="M302" s="25">
        <v>7992.18</v>
      </c>
      <c r="N302" s="25">
        <v>4</v>
      </c>
    </row>
    <row r="303" spans="1:14" ht="18.75" hidden="1">
      <c r="A303" s="10">
        <v>13</v>
      </c>
      <c r="B303" s="10"/>
      <c r="C303" s="36"/>
      <c r="D303" s="12" t="s">
        <v>380</v>
      </c>
      <c r="E303" s="25"/>
      <c r="F303" s="25"/>
      <c r="G303" s="25"/>
      <c r="H303" s="25"/>
      <c r="I303" s="25">
        <f t="shared" si="217"/>
        <v>0</v>
      </c>
      <c r="J303" s="25">
        <f t="shared" si="218"/>
        <v>0</v>
      </c>
      <c r="K303" s="25">
        <f t="shared" si="215"/>
        <v>0</v>
      </c>
      <c r="L303" s="25">
        <f t="shared" si="216"/>
        <v>0</v>
      </c>
      <c r="M303" s="25"/>
      <c r="N303" s="25"/>
    </row>
    <row r="304" spans="1:14" ht="18.75" hidden="1">
      <c r="A304" s="10">
        <v>14</v>
      </c>
      <c r="B304" s="10"/>
      <c r="C304" s="36"/>
      <c r="D304" s="12" t="s">
        <v>381</v>
      </c>
      <c r="E304" s="25"/>
      <c r="F304" s="25"/>
      <c r="G304" s="25"/>
      <c r="H304" s="25"/>
      <c r="I304" s="25">
        <f t="shared" si="217"/>
        <v>0</v>
      </c>
      <c r="J304" s="25">
        <f t="shared" si="218"/>
        <v>0</v>
      </c>
      <c r="K304" s="25">
        <f t="shared" si="215"/>
        <v>0</v>
      </c>
      <c r="L304" s="25">
        <f t="shared" si="216"/>
        <v>0</v>
      </c>
      <c r="M304" s="25"/>
      <c r="N304" s="25"/>
    </row>
    <row r="305" spans="1:14" ht="18.75" hidden="1">
      <c r="A305" s="10">
        <v>15</v>
      </c>
      <c r="B305" s="10"/>
      <c r="C305" s="11"/>
      <c r="D305" s="12" t="s">
        <v>382</v>
      </c>
      <c r="E305" s="25"/>
      <c r="F305" s="25"/>
      <c r="G305" s="25"/>
      <c r="H305" s="25"/>
      <c r="I305" s="25">
        <f t="shared" si="217"/>
        <v>0</v>
      </c>
      <c r="J305" s="25">
        <f t="shared" si="218"/>
        <v>0</v>
      </c>
      <c r="K305" s="25">
        <f t="shared" si="215"/>
        <v>0</v>
      </c>
      <c r="L305" s="25">
        <f t="shared" si="216"/>
        <v>0</v>
      </c>
      <c r="M305" s="25"/>
      <c r="N305" s="25"/>
    </row>
    <row r="306" spans="1:14" ht="18.75" hidden="1">
      <c r="A306" s="10">
        <v>16</v>
      </c>
      <c r="B306" s="10"/>
      <c r="C306" s="11"/>
      <c r="D306" s="12" t="s">
        <v>383</v>
      </c>
      <c r="E306" s="25"/>
      <c r="F306" s="25"/>
      <c r="G306" s="25"/>
      <c r="H306" s="25"/>
      <c r="I306" s="25">
        <f t="shared" si="217"/>
        <v>0</v>
      </c>
      <c r="J306" s="25">
        <f t="shared" si="218"/>
        <v>0</v>
      </c>
      <c r="K306" s="25">
        <f t="shared" si="215"/>
        <v>0</v>
      </c>
      <c r="L306" s="25">
        <f t="shared" si="216"/>
        <v>0</v>
      </c>
      <c r="M306" s="25"/>
      <c r="N306" s="25"/>
    </row>
    <row r="307" spans="1:14" ht="18.75" hidden="1">
      <c r="A307" s="10">
        <v>17</v>
      </c>
      <c r="B307" s="10"/>
      <c r="C307" s="11"/>
      <c r="D307" s="12" t="s">
        <v>384</v>
      </c>
      <c r="E307" s="25"/>
      <c r="F307" s="25"/>
      <c r="G307" s="25"/>
      <c r="H307" s="25"/>
      <c r="I307" s="25">
        <f t="shared" si="217"/>
        <v>0</v>
      </c>
      <c r="J307" s="25">
        <f t="shared" si="218"/>
        <v>0</v>
      </c>
      <c r="K307" s="25">
        <f t="shared" si="215"/>
        <v>0</v>
      </c>
      <c r="L307" s="25">
        <f t="shared" si="216"/>
        <v>0</v>
      </c>
      <c r="M307" s="25"/>
      <c r="N307" s="25"/>
    </row>
    <row r="308" spans="1:14" ht="18.75">
      <c r="A308" s="14"/>
      <c r="B308" s="14"/>
      <c r="C308" s="15"/>
      <c r="D308" s="16" t="s">
        <v>385</v>
      </c>
      <c r="E308" s="13">
        <f t="shared" ref="E308:H308" si="219">+E307+E306+E305+E304+E303+E302+E301+E300+E299+E298+E297+E296+E295+E294+E291+E292+E293</f>
        <v>26668.13</v>
      </c>
      <c r="F308" s="13">
        <f t="shared" si="219"/>
        <v>57.5</v>
      </c>
      <c r="G308" s="13">
        <f t="shared" si="219"/>
        <v>110494.87</v>
      </c>
      <c r="H308" s="13">
        <f t="shared" si="219"/>
        <v>387.5</v>
      </c>
      <c r="I308" s="13">
        <f t="shared" ref="I308:N308" si="220">+I307+I306+I305+I304+I303+I302+I301+I300+I299+I298+I297+I296+I295+I294+I291+I292+I293</f>
        <v>106672.52</v>
      </c>
      <c r="J308" s="13">
        <f t="shared" si="220"/>
        <v>237</v>
      </c>
      <c r="K308" s="13">
        <f t="shared" si="220"/>
        <v>103503.51000000001</v>
      </c>
      <c r="L308" s="13">
        <f t="shared" si="220"/>
        <v>219.5</v>
      </c>
      <c r="M308" s="13">
        <f t="shared" si="220"/>
        <v>106617.43</v>
      </c>
      <c r="N308" s="13">
        <f t="shared" si="220"/>
        <v>396.21000000000004</v>
      </c>
    </row>
    <row r="309" spans="1:14" ht="18.75">
      <c r="A309" s="14"/>
      <c r="B309" s="14" t="s">
        <v>386</v>
      </c>
      <c r="C309" s="15" t="s">
        <v>32</v>
      </c>
      <c r="D309" s="16" t="s">
        <v>387</v>
      </c>
      <c r="E309" s="25"/>
      <c r="F309" s="25"/>
      <c r="G309" s="25"/>
      <c r="H309" s="25"/>
      <c r="I309" s="25">
        <f>ROUND(E309/3*12,2)</f>
        <v>0</v>
      </c>
      <c r="J309" s="25">
        <f>ROUND(F309/3*12,2)</f>
        <v>0</v>
      </c>
      <c r="K309" s="25">
        <f>IF(G309&lt;I309,G309,I309)</f>
        <v>0</v>
      </c>
      <c r="L309" s="25">
        <f>IF(H309&lt;J309,H309,J309)</f>
        <v>0</v>
      </c>
      <c r="M309" s="25"/>
      <c r="N309" s="25"/>
    </row>
    <row r="310" spans="1:14" ht="20.45" customHeight="1">
      <c r="A310" s="14"/>
      <c r="B310" s="14"/>
      <c r="C310" s="15"/>
      <c r="D310" s="16" t="s">
        <v>388</v>
      </c>
      <c r="E310" s="17">
        <f t="shared" ref="E310:N310" si="221">+E309+E308+E290+E288+E271+E265+E262+E240+E223+E225+E185+E135+E89</f>
        <v>101242.32</v>
      </c>
      <c r="F310" s="17">
        <f t="shared" si="221"/>
        <v>35768.5</v>
      </c>
      <c r="G310" s="17">
        <f t="shared" si="221"/>
        <v>425715.27999999997</v>
      </c>
      <c r="H310" s="17">
        <f t="shared" si="221"/>
        <v>148096.91999999998</v>
      </c>
      <c r="I310" s="17">
        <f t="shared" si="221"/>
        <v>404969.28</v>
      </c>
      <c r="J310" s="17">
        <f t="shared" si="221"/>
        <v>144884.32</v>
      </c>
      <c r="K310" s="17">
        <f t="shared" si="221"/>
        <v>392650</v>
      </c>
      <c r="L310" s="17">
        <f t="shared" si="221"/>
        <v>139342</v>
      </c>
      <c r="M310" s="17">
        <f t="shared" si="221"/>
        <v>403971.44</v>
      </c>
      <c r="N310" s="17">
        <f t="shared" si="221"/>
        <v>145072.58000000002</v>
      </c>
    </row>
  </sheetData>
  <sheetProtection password="C172" sheet="1" objects="1" scenarios="1"/>
  <mergeCells count="5">
    <mergeCell ref="E3:F3"/>
    <mergeCell ref="M3:N3"/>
    <mergeCell ref="K3:L3"/>
    <mergeCell ref="G3:H3"/>
    <mergeCell ref="I3:J3"/>
  </mergeCells>
  <conditionalFormatting sqref="E290:N290">
    <cfRule type="cellIs" dxfId="0" priority="5" operator="lessThan">
      <formula>0</formula>
    </cfRule>
  </conditionalFormatting>
  <pageMargins left="0.7" right="0.7" top="0.75" bottom="0.75" header="0.3" footer="0.3"/>
  <pageSetup scale="5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2022-08-10T05:50:48Z</dcterms:modified>
</cp:coreProperties>
</file>