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/>
  <xr:revisionPtr revIDLastSave="0" documentId="13_ncr:1_{7210031B-7C91-4B27-A87C-3A76BBA1AD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Sheet1!$A$4:$CB$310</definedName>
    <definedName name="_xlnm.Print_Area" localSheetId="0">Sheet1!$A$1:$CB$316</definedName>
    <definedName name="_xlnm.Print_Titles" localSheetId="0">Sheet1!$2:$4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47" i="1" l="1"/>
  <c r="BZ272" i="1"/>
  <c r="AG61" i="1"/>
  <c r="BW297" i="1"/>
  <c r="BW272" i="1"/>
  <c r="BW218" i="1" l="1"/>
  <c r="BW31" i="1"/>
  <c r="BX192" i="1"/>
  <c r="BX186" i="1"/>
  <c r="BX105" i="1"/>
  <c r="BW299" i="1" l="1"/>
  <c r="BW45" i="1"/>
  <c r="BW219" i="1"/>
  <c r="BW298" i="1"/>
  <c r="BW177" i="1"/>
  <c r="BY7" i="1" l="1"/>
  <c r="BZ7" i="1"/>
  <c r="BY10" i="1"/>
  <c r="BZ10" i="1"/>
  <c r="BY13" i="1"/>
  <c r="BZ13" i="1"/>
  <c r="BY16" i="1"/>
  <c r="BZ16" i="1"/>
  <c r="BY24" i="1"/>
  <c r="BY26" i="1" s="1"/>
  <c r="BZ24" i="1"/>
  <c r="BZ26" i="1" s="1"/>
  <c r="BY29" i="1"/>
  <c r="BZ29" i="1"/>
  <c r="BY33" i="1"/>
  <c r="BZ33" i="1"/>
  <c r="BY36" i="1"/>
  <c r="BZ36" i="1"/>
  <c r="BY39" i="1"/>
  <c r="BZ39" i="1"/>
  <c r="BY43" i="1"/>
  <c r="BZ43" i="1"/>
  <c r="BY49" i="1"/>
  <c r="BZ49" i="1"/>
  <c r="BY52" i="1"/>
  <c r="BZ52" i="1"/>
  <c r="BY56" i="1"/>
  <c r="BZ56" i="1"/>
  <c r="BY59" i="1"/>
  <c r="BZ59" i="1"/>
  <c r="BY62" i="1"/>
  <c r="BZ62" i="1"/>
  <c r="BY65" i="1"/>
  <c r="BZ65" i="1"/>
  <c r="BY68" i="1"/>
  <c r="BZ68" i="1"/>
  <c r="BY71" i="1"/>
  <c r="BZ71" i="1"/>
  <c r="BY79" i="1"/>
  <c r="BZ79" i="1"/>
  <c r="BY75" i="1"/>
  <c r="BZ75" i="1"/>
  <c r="BY82" i="1"/>
  <c r="BZ82" i="1"/>
  <c r="BY85" i="1"/>
  <c r="BZ85" i="1"/>
  <c r="BY93" i="1"/>
  <c r="BZ93" i="1"/>
  <c r="BY98" i="1"/>
  <c r="BZ98" i="1"/>
  <c r="BY101" i="1"/>
  <c r="BZ101" i="1"/>
  <c r="BY104" i="1"/>
  <c r="BZ104" i="1"/>
  <c r="BY107" i="1"/>
  <c r="BZ107" i="1"/>
  <c r="BY110" i="1"/>
  <c r="BZ110" i="1"/>
  <c r="BY113" i="1"/>
  <c r="BZ113" i="1"/>
  <c r="BY117" i="1"/>
  <c r="BZ117" i="1"/>
  <c r="BY122" i="1"/>
  <c r="BZ122" i="1"/>
  <c r="BY125" i="1"/>
  <c r="BZ125" i="1"/>
  <c r="BY134" i="1"/>
  <c r="BZ134" i="1"/>
  <c r="BY139" i="1"/>
  <c r="BZ139" i="1"/>
  <c r="BY142" i="1"/>
  <c r="BZ142" i="1"/>
  <c r="BY146" i="1"/>
  <c r="BZ146" i="1"/>
  <c r="BY156" i="1"/>
  <c r="BZ156" i="1"/>
  <c r="BY160" i="1"/>
  <c r="BZ160" i="1"/>
  <c r="BY164" i="1"/>
  <c r="BZ164" i="1"/>
  <c r="BY168" i="1"/>
  <c r="BZ168" i="1"/>
  <c r="BY174" i="1"/>
  <c r="BZ174" i="1"/>
  <c r="BY179" i="1"/>
  <c r="BZ179" i="1"/>
  <c r="BY184" i="1"/>
  <c r="BZ184" i="1"/>
  <c r="BY187" i="1"/>
  <c r="BZ187" i="1"/>
  <c r="BY191" i="1"/>
  <c r="BZ191" i="1"/>
  <c r="BY195" i="1"/>
  <c r="BZ195" i="1"/>
  <c r="BY205" i="1"/>
  <c r="BZ205" i="1"/>
  <c r="BY209" i="1"/>
  <c r="BZ209" i="1"/>
  <c r="BY213" i="1"/>
  <c r="BZ213" i="1"/>
  <c r="BY217" i="1"/>
  <c r="BZ217" i="1"/>
  <c r="BY221" i="1"/>
  <c r="BZ221" i="1"/>
  <c r="BX225" i="1"/>
  <c r="BY225" i="1"/>
  <c r="BZ225" i="1"/>
  <c r="BY228" i="1"/>
  <c r="BZ228" i="1"/>
  <c r="BY235" i="1"/>
  <c r="BZ235" i="1"/>
  <c r="BY238" i="1"/>
  <c r="BZ238" i="1"/>
  <c r="BZ240" i="1" s="1"/>
  <c r="BY248" i="1"/>
  <c r="BZ248" i="1"/>
  <c r="BY253" i="1"/>
  <c r="BZ253" i="1"/>
  <c r="BY256" i="1"/>
  <c r="BZ256" i="1"/>
  <c r="BY260" i="1"/>
  <c r="BZ260" i="1"/>
  <c r="BY265" i="1"/>
  <c r="BZ265" i="1"/>
  <c r="BY269" i="1"/>
  <c r="BY271" i="1" s="1"/>
  <c r="BZ269" i="1"/>
  <c r="BZ271" i="1" s="1"/>
  <c r="BY286" i="1"/>
  <c r="BY288" i="1" s="1"/>
  <c r="BZ286" i="1"/>
  <c r="BZ288" i="1" s="1"/>
  <c r="BY290" i="1"/>
  <c r="BZ290" i="1"/>
  <c r="BY308" i="1"/>
  <c r="BZ308" i="1"/>
  <c r="BY185" i="1" l="1"/>
  <c r="BY262" i="1"/>
  <c r="BY240" i="1"/>
  <c r="BY223" i="1"/>
  <c r="BY89" i="1"/>
  <c r="BY310" i="1" s="1"/>
  <c r="BY135" i="1"/>
  <c r="BZ89" i="1"/>
  <c r="BZ135" i="1"/>
  <c r="BZ185" i="1"/>
  <c r="BZ223" i="1"/>
  <c r="BZ262" i="1"/>
  <c r="BH193" i="1"/>
  <c r="BH194" i="1"/>
  <c r="BM2" i="1"/>
  <c r="BZ310" i="1" l="1"/>
  <c r="BW293" i="1"/>
  <c r="BX266" i="1"/>
  <c r="BX232" i="1"/>
  <c r="BX261" i="1"/>
  <c r="BX241" i="1"/>
  <c r="BX99" i="1"/>
  <c r="BX140" i="1"/>
  <c r="BX102" i="1"/>
  <c r="BX80" i="1"/>
  <c r="BX37" i="1"/>
  <c r="BX27" i="1"/>
  <c r="BX8" i="1"/>
  <c r="BW81" i="1"/>
  <c r="BU35" i="1" l="1"/>
  <c r="BW11" i="1" l="1"/>
  <c r="BW211" i="1" l="1"/>
  <c r="BW16" i="1" l="1"/>
  <c r="BX16" i="1"/>
  <c r="BU34" i="1" l="1"/>
  <c r="BJ2" i="1" l="1"/>
  <c r="BW308" i="1" l="1"/>
  <c r="BX308" i="1"/>
  <c r="BW290" i="1"/>
  <c r="BX290" i="1"/>
  <c r="BW286" i="1"/>
  <c r="BW288" i="1" s="1"/>
  <c r="BX286" i="1"/>
  <c r="BX288" i="1" s="1"/>
  <c r="BW269" i="1"/>
  <c r="BW271" i="1" s="1"/>
  <c r="BX269" i="1"/>
  <c r="BX271" i="1" s="1"/>
  <c r="BW265" i="1"/>
  <c r="BX265" i="1"/>
  <c r="BW260" i="1"/>
  <c r="BX260" i="1"/>
  <c r="BW256" i="1"/>
  <c r="BX256" i="1"/>
  <c r="BW253" i="1"/>
  <c r="BX253" i="1"/>
  <c r="BW248" i="1"/>
  <c r="BX248" i="1"/>
  <c r="BW238" i="1"/>
  <c r="BX238" i="1"/>
  <c r="BW235" i="1"/>
  <c r="BX235" i="1"/>
  <c r="BW228" i="1"/>
  <c r="BX228" i="1"/>
  <c r="BW225" i="1"/>
  <c r="BW221" i="1"/>
  <c r="BX221" i="1"/>
  <c r="BW217" i="1"/>
  <c r="BX217" i="1"/>
  <c r="BW213" i="1"/>
  <c r="BX213" i="1"/>
  <c r="BW209" i="1"/>
  <c r="BX209" i="1"/>
  <c r="BW205" i="1"/>
  <c r="BX205" i="1"/>
  <c r="BW195" i="1"/>
  <c r="BX195" i="1"/>
  <c r="BW191" i="1"/>
  <c r="BX191" i="1"/>
  <c r="BW187" i="1"/>
  <c r="BX187" i="1"/>
  <c r="BW184" i="1"/>
  <c r="BX184" i="1"/>
  <c r="BW179" i="1"/>
  <c r="BX179" i="1"/>
  <c r="BW174" i="1"/>
  <c r="BX174" i="1"/>
  <c r="BW168" i="1"/>
  <c r="BX168" i="1"/>
  <c r="BW164" i="1"/>
  <c r="BX164" i="1"/>
  <c r="BW160" i="1"/>
  <c r="BX160" i="1"/>
  <c r="BW156" i="1"/>
  <c r="BX156" i="1"/>
  <c r="BW146" i="1"/>
  <c r="BX146" i="1"/>
  <c r="BW142" i="1"/>
  <c r="BX142" i="1"/>
  <c r="BW139" i="1"/>
  <c r="BX139" i="1"/>
  <c r="BW134" i="1"/>
  <c r="BX134" i="1"/>
  <c r="BW125" i="1"/>
  <c r="BX125" i="1"/>
  <c r="BW122" i="1"/>
  <c r="BX122" i="1"/>
  <c r="BW117" i="1"/>
  <c r="BX117" i="1"/>
  <c r="BW113" i="1"/>
  <c r="BX113" i="1"/>
  <c r="BW110" i="1"/>
  <c r="BX110" i="1"/>
  <c r="BW107" i="1"/>
  <c r="BX107" i="1"/>
  <c r="BW104" i="1"/>
  <c r="BX104" i="1"/>
  <c r="BW101" i="1"/>
  <c r="BX101" i="1"/>
  <c r="BW98" i="1"/>
  <c r="BX98" i="1"/>
  <c r="BW93" i="1"/>
  <c r="BX93" i="1"/>
  <c r="BW85" i="1"/>
  <c r="BX85" i="1"/>
  <c r="BW82" i="1"/>
  <c r="BX82" i="1"/>
  <c r="BW79" i="1"/>
  <c r="BX79" i="1"/>
  <c r="BW75" i="1"/>
  <c r="BX75" i="1"/>
  <c r="BW71" i="1"/>
  <c r="BX71" i="1"/>
  <c r="BW68" i="1"/>
  <c r="BX68" i="1"/>
  <c r="BW65" i="1"/>
  <c r="BX65" i="1"/>
  <c r="BW62" i="1"/>
  <c r="BX62" i="1"/>
  <c r="BW59" i="1"/>
  <c r="BX59" i="1"/>
  <c r="BW56" i="1"/>
  <c r="BX56" i="1"/>
  <c r="BW52" i="1"/>
  <c r="BX52" i="1"/>
  <c r="BW49" i="1"/>
  <c r="BX49" i="1"/>
  <c r="BW43" i="1"/>
  <c r="BX43" i="1"/>
  <c r="BW39" i="1"/>
  <c r="BX39" i="1"/>
  <c r="BW36" i="1"/>
  <c r="BX36" i="1"/>
  <c r="BW33" i="1"/>
  <c r="BX33" i="1"/>
  <c r="BW29" i="1"/>
  <c r="BX29" i="1"/>
  <c r="BW24" i="1"/>
  <c r="BW26" i="1" s="1"/>
  <c r="BX24" i="1"/>
  <c r="BX26" i="1" s="1"/>
  <c r="BW13" i="1"/>
  <c r="BX13" i="1"/>
  <c r="BW10" i="1"/>
  <c r="BX10" i="1"/>
  <c r="BW7" i="1"/>
  <c r="BX7" i="1"/>
  <c r="BW240" i="1" l="1"/>
  <c r="BX240" i="1"/>
  <c r="BW262" i="1"/>
  <c r="BX262" i="1"/>
  <c r="BX223" i="1"/>
  <c r="BW135" i="1"/>
  <c r="BX185" i="1"/>
  <c r="BX135" i="1"/>
  <c r="BX89" i="1"/>
  <c r="BW223" i="1"/>
  <c r="BW185" i="1"/>
  <c r="BW89" i="1"/>
  <c r="BX310" i="1" l="1"/>
  <c r="BW310" i="1"/>
  <c r="BP186" i="1" l="1"/>
  <c r="BI2" i="1" l="1"/>
  <c r="BK2" i="1"/>
  <c r="BU116" i="1"/>
  <c r="BU129" i="1"/>
  <c r="BU16" i="1"/>
  <c r="BU290" i="1" l="1"/>
  <c r="BV265" i="1"/>
  <c r="BU265" i="1"/>
  <c r="BV181" i="1"/>
  <c r="BT44" i="1"/>
  <c r="BT45" i="1"/>
  <c r="BT46" i="1"/>
  <c r="BS44" i="1"/>
  <c r="BS45" i="1"/>
  <c r="BS46" i="1"/>
  <c r="BP308" i="1" l="1"/>
  <c r="BO308" i="1"/>
  <c r="BP290" i="1"/>
  <c r="BO290" i="1"/>
  <c r="BP265" i="1"/>
  <c r="BO265" i="1"/>
  <c r="BO225" i="1"/>
  <c r="BO82" i="1"/>
  <c r="BP82" i="1"/>
  <c r="BP24" i="1"/>
  <c r="BO24" i="1"/>
  <c r="BP13" i="1"/>
  <c r="BO13" i="1"/>
  <c r="BP256" i="1"/>
  <c r="BO256" i="1"/>
  <c r="BP253" i="1"/>
  <c r="BO253" i="1"/>
  <c r="BP248" i="1"/>
  <c r="BO248" i="1"/>
  <c r="BP286" i="1"/>
  <c r="BP288" i="1" s="1"/>
  <c r="BO286" i="1"/>
  <c r="BO288" i="1" s="1"/>
  <c r="BP269" i="1"/>
  <c r="BP271" i="1" s="1"/>
  <c r="BO269" i="1"/>
  <c r="BO271" i="1" s="1"/>
  <c r="BP260" i="1"/>
  <c r="BO260" i="1"/>
  <c r="BP238" i="1"/>
  <c r="BO238" i="1"/>
  <c r="BP235" i="1"/>
  <c r="BO235" i="1"/>
  <c r="BP228" i="1"/>
  <c r="BO228" i="1"/>
  <c r="BP221" i="1"/>
  <c r="BO221" i="1"/>
  <c r="BP217" i="1"/>
  <c r="BO217" i="1"/>
  <c r="BP213" i="1"/>
  <c r="BO213" i="1"/>
  <c r="BP209" i="1"/>
  <c r="BO209" i="1"/>
  <c r="BP205" i="1"/>
  <c r="BO205" i="1"/>
  <c r="BP195" i="1"/>
  <c r="BO195" i="1"/>
  <c r="BP191" i="1"/>
  <c r="BO191" i="1"/>
  <c r="BP187" i="1"/>
  <c r="BO187" i="1"/>
  <c r="BP184" i="1"/>
  <c r="BO184" i="1"/>
  <c r="BP179" i="1"/>
  <c r="BO179" i="1"/>
  <c r="BP174" i="1"/>
  <c r="BO174" i="1"/>
  <c r="BP168" i="1"/>
  <c r="BO168" i="1"/>
  <c r="BP164" i="1"/>
  <c r="BO164" i="1"/>
  <c r="BP160" i="1"/>
  <c r="BO160" i="1"/>
  <c r="BP156" i="1"/>
  <c r="BO156" i="1"/>
  <c r="BP146" i="1"/>
  <c r="BO146" i="1"/>
  <c r="BP142" i="1"/>
  <c r="BO142" i="1"/>
  <c r="BP139" i="1"/>
  <c r="BO139" i="1"/>
  <c r="BO134" i="1"/>
  <c r="BP134" i="1"/>
  <c r="BP125" i="1"/>
  <c r="BO125" i="1"/>
  <c r="BP122" i="1"/>
  <c r="BO122" i="1"/>
  <c r="BO117" i="1"/>
  <c r="BP117" i="1"/>
  <c r="BP113" i="1"/>
  <c r="BO113" i="1"/>
  <c r="BP110" i="1"/>
  <c r="BO110" i="1"/>
  <c r="BP107" i="1"/>
  <c r="BO107" i="1"/>
  <c r="BP104" i="1"/>
  <c r="BO104" i="1"/>
  <c r="BP101" i="1"/>
  <c r="BO101" i="1"/>
  <c r="BP98" i="1"/>
  <c r="BO98" i="1"/>
  <c r="BO93" i="1"/>
  <c r="BP93" i="1"/>
  <c r="BP85" i="1"/>
  <c r="BP75" i="1"/>
  <c r="BO75" i="1"/>
  <c r="BP71" i="1"/>
  <c r="BO71" i="1"/>
  <c r="BP68" i="1"/>
  <c r="BO68" i="1"/>
  <c r="BP65" i="1"/>
  <c r="BO65" i="1"/>
  <c r="BP62" i="1"/>
  <c r="BO62" i="1"/>
  <c r="BP59" i="1"/>
  <c r="BO59" i="1"/>
  <c r="BP56" i="1"/>
  <c r="BO56" i="1"/>
  <c r="BP52" i="1"/>
  <c r="BO52" i="1"/>
  <c r="BP49" i="1"/>
  <c r="BO49" i="1"/>
  <c r="BP43" i="1"/>
  <c r="BO43" i="1"/>
  <c r="BP39" i="1"/>
  <c r="BO39" i="1"/>
  <c r="BO36" i="1"/>
  <c r="BP36" i="1"/>
  <c r="BP33" i="1"/>
  <c r="BO29" i="1"/>
  <c r="BP29" i="1"/>
  <c r="BT309" i="1"/>
  <c r="BS309" i="1"/>
  <c r="BT307" i="1"/>
  <c r="BS307" i="1"/>
  <c r="BT306" i="1"/>
  <c r="BS306" i="1"/>
  <c r="BT305" i="1"/>
  <c r="BS305" i="1"/>
  <c r="BT304" i="1"/>
  <c r="BS304" i="1"/>
  <c r="BT303" i="1"/>
  <c r="BS303" i="1"/>
  <c r="BT302" i="1"/>
  <c r="BS302" i="1"/>
  <c r="BT301" i="1"/>
  <c r="BS301" i="1"/>
  <c r="BT300" i="1"/>
  <c r="BS300" i="1"/>
  <c r="BT299" i="1"/>
  <c r="BS299" i="1"/>
  <c r="BT298" i="1"/>
  <c r="BS298" i="1"/>
  <c r="BT297" i="1"/>
  <c r="BS297" i="1"/>
  <c r="BT296" i="1"/>
  <c r="BS296" i="1"/>
  <c r="BT295" i="1"/>
  <c r="BS295" i="1"/>
  <c r="BT294" i="1"/>
  <c r="BS294" i="1"/>
  <c r="BT293" i="1"/>
  <c r="BS293" i="1"/>
  <c r="BT292" i="1"/>
  <c r="BS292" i="1"/>
  <c r="BT291" i="1"/>
  <c r="BS291" i="1"/>
  <c r="BT289" i="1"/>
  <c r="BT290" i="1" s="1"/>
  <c r="BS289" i="1"/>
  <c r="BS290" i="1" s="1"/>
  <c r="BT287" i="1"/>
  <c r="BS287" i="1"/>
  <c r="BT285" i="1"/>
  <c r="BS285" i="1"/>
  <c r="BT284" i="1"/>
  <c r="BS284" i="1"/>
  <c r="BT283" i="1"/>
  <c r="BS283" i="1"/>
  <c r="BT282" i="1"/>
  <c r="BS282" i="1"/>
  <c r="BT281" i="1"/>
  <c r="BS281" i="1"/>
  <c r="BT280" i="1"/>
  <c r="BS280" i="1"/>
  <c r="BT279" i="1"/>
  <c r="BS279" i="1"/>
  <c r="BT278" i="1"/>
  <c r="BS278" i="1"/>
  <c r="BT277" i="1"/>
  <c r="BS277" i="1"/>
  <c r="BT276" i="1"/>
  <c r="BS276" i="1"/>
  <c r="BT275" i="1"/>
  <c r="BS275" i="1"/>
  <c r="BT274" i="1"/>
  <c r="BS274" i="1"/>
  <c r="BT273" i="1"/>
  <c r="BS273" i="1"/>
  <c r="BT272" i="1"/>
  <c r="BS272" i="1"/>
  <c r="BS286" i="1" s="1"/>
  <c r="BS288" i="1" s="1"/>
  <c r="BT270" i="1"/>
  <c r="BS270" i="1"/>
  <c r="BT268" i="1"/>
  <c r="BS268" i="1"/>
  <c r="BT267" i="1"/>
  <c r="BS267" i="1"/>
  <c r="BT266" i="1"/>
  <c r="BS266" i="1"/>
  <c r="BT264" i="1"/>
  <c r="BS264" i="1"/>
  <c r="BT263" i="1"/>
  <c r="BS263" i="1"/>
  <c r="BT261" i="1"/>
  <c r="BS261" i="1"/>
  <c r="BT259" i="1"/>
  <c r="BS259" i="1"/>
  <c r="BT258" i="1"/>
  <c r="BS258" i="1"/>
  <c r="BT257" i="1"/>
  <c r="BS257" i="1"/>
  <c r="BT255" i="1"/>
  <c r="BS255" i="1"/>
  <c r="BT254" i="1"/>
  <c r="BS254" i="1"/>
  <c r="BT252" i="1"/>
  <c r="BS252" i="1"/>
  <c r="BT251" i="1"/>
  <c r="BS251" i="1"/>
  <c r="BT250" i="1"/>
  <c r="BS250" i="1"/>
  <c r="BT249" i="1"/>
  <c r="BS249" i="1"/>
  <c r="BT247" i="1"/>
  <c r="BS247" i="1"/>
  <c r="BT246" i="1"/>
  <c r="BS246" i="1"/>
  <c r="BT245" i="1"/>
  <c r="BS245" i="1"/>
  <c r="BT244" i="1"/>
  <c r="BS244" i="1"/>
  <c r="BT243" i="1"/>
  <c r="BS243" i="1"/>
  <c r="BT242" i="1"/>
  <c r="BS242" i="1"/>
  <c r="BT241" i="1"/>
  <c r="BS241" i="1"/>
  <c r="BT239" i="1"/>
  <c r="BS239" i="1"/>
  <c r="BT237" i="1"/>
  <c r="BS237" i="1"/>
  <c r="BT236" i="1"/>
  <c r="BS236" i="1"/>
  <c r="BT234" i="1"/>
  <c r="BS234" i="1"/>
  <c r="BT233" i="1"/>
  <c r="BS233" i="1"/>
  <c r="BT232" i="1"/>
  <c r="BS232" i="1"/>
  <c r="BT231" i="1"/>
  <c r="BS231" i="1"/>
  <c r="BT230" i="1"/>
  <c r="BS230" i="1"/>
  <c r="BT229" i="1"/>
  <c r="BS229" i="1"/>
  <c r="BT227" i="1"/>
  <c r="BS227" i="1"/>
  <c r="BT226" i="1"/>
  <c r="BS226" i="1"/>
  <c r="BS224" i="1"/>
  <c r="BS225" i="1" s="1"/>
  <c r="BT222" i="1"/>
  <c r="BS222" i="1"/>
  <c r="BT220" i="1"/>
  <c r="BS220" i="1"/>
  <c r="BT219" i="1"/>
  <c r="BS219" i="1"/>
  <c r="BT218" i="1"/>
  <c r="BS218" i="1"/>
  <c r="BT216" i="1"/>
  <c r="BS216" i="1"/>
  <c r="BT215" i="1"/>
  <c r="BS215" i="1"/>
  <c r="BT214" i="1"/>
  <c r="BS214" i="1"/>
  <c r="BT212" i="1"/>
  <c r="BS212" i="1"/>
  <c r="BT211" i="1"/>
  <c r="BS211" i="1"/>
  <c r="BT210" i="1"/>
  <c r="BS210" i="1"/>
  <c r="BT208" i="1"/>
  <c r="BS208" i="1"/>
  <c r="BT207" i="1"/>
  <c r="BS207" i="1"/>
  <c r="BT206" i="1"/>
  <c r="BS206" i="1"/>
  <c r="BT204" i="1"/>
  <c r="BS204" i="1"/>
  <c r="BT203" i="1"/>
  <c r="BS203" i="1"/>
  <c r="BT202" i="1"/>
  <c r="BS202" i="1"/>
  <c r="BT201" i="1"/>
  <c r="BS201" i="1"/>
  <c r="BT200" i="1"/>
  <c r="BS200" i="1"/>
  <c r="BT199" i="1"/>
  <c r="BS199" i="1"/>
  <c r="BT198" i="1"/>
  <c r="BS198" i="1"/>
  <c r="BT197" i="1"/>
  <c r="BS197" i="1"/>
  <c r="BT196" i="1"/>
  <c r="BS196" i="1"/>
  <c r="BT194" i="1"/>
  <c r="BS194" i="1"/>
  <c r="BT193" i="1"/>
  <c r="BS193" i="1"/>
  <c r="BT192" i="1"/>
  <c r="BS192" i="1"/>
  <c r="BT190" i="1"/>
  <c r="BS190" i="1"/>
  <c r="BT189" i="1"/>
  <c r="BS189" i="1"/>
  <c r="BT188" i="1"/>
  <c r="BS188" i="1"/>
  <c r="BT186" i="1"/>
  <c r="BS186" i="1"/>
  <c r="BT183" i="1"/>
  <c r="BS183" i="1"/>
  <c r="BT182" i="1"/>
  <c r="BS182" i="1"/>
  <c r="BT181" i="1"/>
  <c r="BS181" i="1"/>
  <c r="BT180" i="1"/>
  <c r="BS180" i="1"/>
  <c r="BT178" i="1"/>
  <c r="BS178" i="1"/>
  <c r="BT177" i="1"/>
  <c r="BS177" i="1"/>
  <c r="BT176" i="1"/>
  <c r="BS176" i="1"/>
  <c r="BT175" i="1"/>
  <c r="BS175" i="1"/>
  <c r="BT173" i="1"/>
  <c r="BS173" i="1"/>
  <c r="BT172" i="1"/>
  <c r="BS172" i="1"/>
  <c r="BT171" i="1"/>
  <c r="BS171" i="1"/>
  <c r="BT170" i="1"/>
  <c r="BS170" i="1"/>
  <c r="BT169" i="1"/>
  <c r="BS169" i="1"/>
  <c r="BT167" i="1"/>
  <c r="BS167" i="1"/>
  <c r="BT166" i="1"/>
  <c r="BS166" i="1"/>
  <c r="BT165" i="1"/>
  <c r="BS165" i="1"/>
  <c r="BT163" i="1"/>
  <c r="BS163" i="1"/>
  <c r="BT162" i="1"/>
  <c r="BS162" i="1"/>
  <c r="BT161" i="1"/>
  <c r="BS161" i="1"/>
  <c r="BT159" i="1"/>
  <c r="BS159" i="1"/>
  <c r="BT158" i="1"/>
  <c r="BS158" i="1"/>
  <c r="BT157" i="1"/>
  <c r="BS157" i="1"/>
  <c r="BT155" i="1"/>
  <c r="BS155" i="1"/>
  <c r="BT154" i="1"/>
  <c r="BS154" i="1"/>
  <c r="BT153" i="1"/>
  <c r="BS153" i="1"/>
  <c r="BT152" i="1"/>
  <c r="BS152" i="1"/>
  <c r="BT151" i="1"/>
  <c r="BS151" i="1"/>
  <c r="BT150" i="1"/>
  <c r="BS150" i="1"/>
  <c r="BT149" i="1"/>
  <c r="BS149" i="1"/>
  <c r="BT148" i="1"/>
  <c r="BS148" i="1"/>
  <c r="BT147" i="1"/>
  <c r="BS147" i="1"/>
  <c r="BT145" i="1"/>
  <c r="BS145" i="1"/>
  <c r="BT144" i="1"/>
  <c r="BS144" i="1"/>
  <c r="BT143" i="1"/>
  <c r="BS143" i="1"/>
  <c r="BT141" i="1"/>
  <c r="BS141" i="1"/>
  <c r="BT140" i="1"/>
  <c r="BS140" i="1"/>
  <c r="BT138" i="1"/>
  <c r="BS138" i="1"/>
  <c r="BT137" i="1"/>
  <c r="BS137" i="1"/>
  <c r="BT136" i="1"/>
  <c r="BS136" i="1"/>
  <c r="BT133" i="1"/>
  <c r="BS133" i="1"/>
  <c r="BT132" i="1"/>
  <c r="BS132" i="1"/>
  <c r="BT131" i="1"/>
  <c r="BS131" i="1"/>
  <c r="BT130" i="1"/>
  <c r="BS130" i="1"/>
  <c r="BT129" i="1"/>
  <c r="BS129" i="1"/>
  <c r="BT128" i="1"/>
  <c r="BS128" i="1"/>
  <c r="BT127" i="1"/>
  <c r="BS127" i="1"/>
  <c r="BT126" i="1"/>
  <c r="BS126" i="1"/>
  <c r="BT124" i="1"/>
  <c r="BS124" i="1"/>
  <c r="BT123" i="1"/>
  <c r="BS123" i="1"/>
  <c r="BT121" i="1"/>
  <c r="BS121" i="1"/>
  <c r="BT120" i="1"/>
  <c r="BS120" i="1"/>
  <c r="BT119" i="1"/>
  <c r="BS119" i="1"/>
  <c r="BT118" i="1"/>
  <c r="BS118" i="1"/>
  <c r="BT116" i="1"/>
  <c r="BS116" i="1"/>
  <c r="BT115" i="1"/>
  <c r="BS115" i="1"/>
  <c r="BT114" i="1"/>
  <c r="BS114" i="1"/>
  <c r="BT112" i="1"/>
  <c r="BS112" i="1"/>
  <c r="BT111" i="1"/>
  <c r="BS111" i="1"/>
  <c r="BT109" i="1"/>
  <c r="BS109" i="1"/>
  <c r="BT108" i="1"/>
  <c r="BS108" i="1"/>
  <c r="BT106" i="1"/>
  <c r="BS106" i="1"/>
  <c r="BT105" i="1"/>
  <c r="BS105" i="1"/>
  <c r="BT103" i="1"/>
  <c r="BS103" i="1"/>
  <c r="BT102" i="1"/>
  <c r="BS102" i="1"/>
  <c r="BT100" i="1"/>
  <c r="BS100" i="1"/>
  <c r="BT99" i="1"/>
  <c r="BS99" i="1"/>
  <c r="BT97" i="1"/>
  <c r="BS97" i="1"/>
  <c r="BT96" i="1"/>
  <c r="BS96" i="1"/>
  <c r="BT95" i="1"/>
  <c r="BS95" i="1"/>
  <c r="BT94" i="1"/>
  <c r="BS94" i="1"/>
  <c r="BT92" i="1"/>
  <c r="BS92" i="1"/>
  <c r="BT91" i="1"/>
  <c r="BS91" i="1"/>
  <c r="BT90" i="1"/>
  <c r="BS90" i="1"/>
  <c r="BT87" i="1"/>
  <c r="BS87" i="1"/>
  <c r="BT86" i="1"/>
  <c r="BS86" i="1"/>
  <c r="BT84" i="1"/>
  <c r="BT83" i="1"/>
  <c r="BS83" i="1"/>
  <c r="BT81" i="1"/>
  <c r="BS81" i="1"/>
  <c r="BT80" i="1"/>
  <c r="BS80" i="1"/>
  <c r="BT77" i="1"/>
  <c r="BS77" i="1"/>
  <c r="BT76" i="1"/>
  <c r="BS76" i="1"/>
  <c r="BT74" i="1"/>
  <c r="BS74" i="1"/>
  <c r="BT73" i="1"/>
  <c r="BS73" i="1"/>
  <c r="BT72" i="1"/>
  <c r="BS72" i="1"/>
  <c r="BT70" i="1"/>
  <c r="BS70" i="1"/>
  <c r="BT69" i="1"/>
  <c r="BS69" i="1"/>
  <c r="BT67" i="1"/>
  <c r="BS67" i="1"/>
  <c r="BT66" i="1"/>
  <c r="BS66" i="1"/>
  <c r="BT64" i="1"/>
  <c r="BS64" i="1"/>
  <c r="BT63" i="1"/>
  <c r="BS63" i="1"/>
  <c r="BT61" i="1"/>
  <c r="BS61" i="1"/>
  <c r="BT60" i="1"/>
  <c r="BS60" i="1"/>
  <c r="BT58" i="1"/>
  <c r="BS58" i="1"/>
  <c r="BT57" i="1"/>
  <c r="BS57" i="1"/>
  <c r="BT55" i="1"/>
  <c r="BS55" i="1"/>
  <c r="BT54" i="1"/>
  <c r="BS54" i="1"/>
  <c r="BT53" i="1"/>
  <c r="BS53" i="1"/>
  <c r="BT51" i="1"/>
  <c r="BS51" i="1"/>
  <c r="BT50" i="1"/>
  <c r="BS50" i="1"/>
  <c r="BT48" i="1"/>
  <c r="BS48" i="1"/>
  <c r="BT47" i="1"/>
  <c r="BS47" i="1"/>
  <c r="BT42" i="1"/>
  <c r="BS42" i="1"/>
  <c r="BT41" i="1"/>
  <c r="BS41" i="1"/>
  <c r="BT40" i="1"/>
  <c r="BS40" i="1"/>
  <c r="BT38" i="1"/>
  <c r="BS38" i="1"/>
  <c r="BT37" i="1"/>
  <c r="BS37" i="1"/>
  <c r="BT35" i="1"/>
  <c r="BS35" i="1"/>
  <c r="BT34" i="1"/>
  <c r="BS34" i="1"/>
  <c r="BT32" i="1"/>
  <c r="BT31" i="1"/>
  <c r="BT30" i="1"/>
  <c r="BS30" i="1"/>
  <c r="BT28" i="1"/>
  <c r="BS28" i="1"/>
  <c r="BT27" i="1"/>
  <c r="BS27" i="1"/>
  <c r="BT25" i="1"/>
  <c r="BS25" i="1"/>
  <c r="BT23" i="1"/>
  <c r="BS23" i="1"/>
  <c r="BT22" i="1"/>
  <c r="BS22" i="1"/>
  <c r="BT21" i="1"/>
  <c r="BS21" i="1"/>
  <c r="BT20" i="1"/>
  <c r="BS20" i="1"/>
  <c r="BT19" i="1"/>
  <c r="BS19" i="1"/>
  <c r="BT18" i="1"/>
  <c r="BS18" i="1"/>
  <c r="BT17" i="1"/>
  <c r="BS17" i="1"/>
  <c r="BT15" i="1"/>
  <c r="BS15" i="1"/>
  <c r="BT14" i="1"/>
  <c r="BS14" i="1"/>
  <c r="BT12" i="1"/>
  <c r="BS12" i="1"/>
  <c r="BT11" i="1"/>
  <c r="BS11" i="1"/>
  <c r="BT9" i="1"/>
  <c r="BT8" i="1"/>
  <c r="BS8" i="1"/>
  <c r="BT6" i="1"/>
  <c r="BS6" i="1"/>
  <c r="BT5" i="1"/>
  <c r="BS5" i="1"/>
  <c r="BO32" i="1"/>
  <c r="BS32" i="1" s="1"/>
  <c r="BO31" i="1"/>
  <c r="BO33" i="1" s="1"/>
  <c r="BT286" i="1" l="1"/>
  <c r="BT288" i="1" s="1"/>
  <c r="BS43" i="1"/>
  <c r="BT7" i="1"/>
  <c r="BT43" i="1"/>
  <c r="BT269" i="1"/>
  <c r="BT271" i="1" s="1"/>
  <c r="BS269" i="1"/>
  <c r="BS271" i="1" s="1"/>
  <c r="BO262" i="1"/>
  <c r="BS7" i="1"/>
  <c r="BS265" i="1"/>
  <c r="BS31" i="1"/>
  <c r="BS33" i="1" s="1"/>
  <c r="BP262" i="1"/>
  <c r="BP223" i="1"/>
  <c r="BP240" i="1"/>
  <c r="BS13" i="1"/>
  <c r="BS16" i="1"/>
  <c r="BS24" i="1"/>
  <c r="BT10" i="1"/>
  <c r="BT13" i="1"/>
  <c r="BT16" i="1"/>
  <c r="BT24" i="1"/>
  <c r="BT29" i="1"/>
  <c r="BT33" i="1"/>
  <c r="BT36" i="1"/>
  <c r="BT39" i="1"/>
  <c r="BT49" i="1"/>
  <c r="BT52" i="1"/>
  <c r="BT56" i="1"/>
  <c r="BT59" i="1"/>
  <c r="BT62" i="1"/>
  <c r="BT65" i="1"/>
  <c r="BT68" i="1"/>
  <c r="BT71" i="1"/>
  <c r="BT75" i="1"/>
  <c r="BT82" i="1"/>
  <c r="BT85" i="1"/>
  <c r="BT93" i="1"/>
  <c r="BT98" i="1"/>
  <c r="BT101" i="1"/>
  <c r="BT104" i="1"/>
  <c r="BT107" i="1"/>
  <c r="BT110" i="1"/>
  <c r="BT113" i="1"/>
  <c r="BT117" i="1"/>
  <c r="BT122" i="1"/>
  <c r="BT125" i="1"/>
  <c r="BT134" i="1"/>
  <c r="BT139" i="1"/>
  <c r="BT142" i="1"/>
  <c r="BT146" i="1"/>
  <c r="BT156" i="1"/>
  <c r="BT164" i="1"/>
  <c r="BT168" i="1"/>
  <c r="BT174" i="1"/>
  <c r="BT179" i="1"/>
  <c r="BT184" i="1"/>
  <c r="BT187" i="1"/>
  <c r="BT191" i="1"/>
  <c r="BT195" i="1"/>
  <c r="BT205" i="1"/>
  <c r="BT209" i="1"/>
  <c r="BT213" i="1"/>
  <c r="BT217" i="1"/>
  <c r="BT221" i="1"/>
  <c r="BS228" i="1"/>
  <c r="BS235" i="1"/>
  <c r="BS238" i="1"/>
  <c r="BS248" i="1"/>
  <c r="BS253" i="1"/>
  <c r="BS256" i="1"/>
  <c r="BS260" i="1"/>
  <c r="BS308" i="1"/>
  <c r="BP135" i="1"/>
  <c r="BO185" i="1"/>
  <c r="BO223" i="1"/>
  <c r="BO240" i="1"/>
  <c r="BT308" i="1"/>
  <c r="BS29" i="1"/>
  <c r="BS36" i="1"/>
  <c r="BS39" i="1"/>
  <c r="BS49" i="1"/>
  <c r="BS52" i="1"/>
  <c r="BS56" i="1"/>
  <c r="BS59" i="1"/>
  <c r="BS62" i="1"/>
  <c r="BS65" i="1"/>
  <c r="BS68" i="1"/>
  <c r="BS71" i="1"/>
  <c r="BS75" i="1"/>
  <c r="BS82" i="1"/>
  <c r="BS93" i="1"/>
  <c r="BS98" i="1"/>
  <c r="BS101" i="1"/>
  <c r="BS104" i="1"/>
  <c r="BS107" i="1"/>
  <c r="BS110" i="1"/>
  <c r="BS113" i="1"/>
  <c r="BS117" i="1"/>
  <c r="BS122" i="1"/>
  <c r="BS125" i="1"/>
  <c r="BS134" i="1"/>
  <c r="BS139" i="1"/>
  <c r="BS142" i="1"/>
  <c r="BS146" i="1"/>
  <c r="BS156" i="1"/>
  <c r="BS164" i="1"/>
  <c r="BS168" i="1"/>
  <c r="BS174" i="1"/>
  <c r="BS179" i="1"/>
  <c r="BS184" i="1"/>
  <c r="BS187" i="1"/>
  <c r="BS195" i="1"/>
  <c r="BS205" i="1"/>
  <c r="BS209" i="1"/>
  <c r="BS213" i="1"/>
  <c r="BS217" i="1"/>
  <c r="BS221" i="1"/>
  <c r="BT228" i="1"/>
  <c r="BT235" i="1"/>
  <c r="BT238" i="1"/>
  <c r="BT248" i="1"/>
  <c r="BT253" i="1"/>
  <c r="BT256" i="1"/>
  <c r="BT260" i="1"/>
  <c r="BO135" i="1"/>
  <c r="BP185" i="1"/>
  <c r="BT265" i="1"/>
  <c r="BS191" i="1"/>
  <c r="BS160" i="1"/>
  <c r="BT160" i="1"/>
  <c r="BO84" i="1"/>
  <c r="BP16" i="1"/>
  <c r="BO16" i="1"/>
  <c r="BP10" i="1"/>
  <c r="BO9" i="1"/>
  <c r="BP7" i="1"/>
  <c r="BO7" i="1"/>
  <c r="BO10" i="1" l="1"/>
  <c r="BS9" i="1"/>
  <c r="BS10" i="1" s="1"/>
  <c r="BO85" i="1"/>
  <c r="BS84" i="1"/>
  <c r="BS262" i="1"/>
  <c r="BT262" i="1"/>
  <c r="BT223" i="1"/>
  <c r="BS240" i="1"/>
  <c r="BS223" i="1"/>
  <c r="BS185" i="1"/>
  <c r="BS135" i="1"/>
  <c r="BT240" i="1"/>
  <c r="BT185" i="1"/>
  <c r="BT135" i="1"/>
  <c r="BO26" i="1"/>
  <c r="BS26" i="1"/>
  <c r="BP26" i="1"/>
  <c r="BT26" i="1"/>
  <c r="BJ113" i="1"/>
  <c r="BK113" i="1"/>
  <c r="AK308" i="1"/>
  <c r="AL308" i="1"/>
  <c r="AO308" i="1"/>
  <c r="AP308" i="1"/>
  <c r="AS308" i="1"/>
  <c r="AT308" i="1"/>
  <c r="AW308" i="1"/>
  <c r="AX308" i="1"/>
  <c r="BB308" i="1"/>
  <c r="BC308" i="1"/>
  <c r="BH308" i="1"/>
  <c r="BI308" i="1"/>
  <c r="BJ308" i="1"/>
  <c r="BK308" i="1"/>
  <c r="AX265" i="1"/>
  <c r="BB265" i="1"/>
  <c r="BC265" i="1"/>
  <c r="BH265" i="1"/>
  <c r="BI265" i="1"/>
  <c r="BJ265" i="1"/>
  <c r="BK265" i="1"/>
  <c r="AS265" i="1"/>
  <c r="AT265" i="1"/>
  <c r="AW265" i="1"/>
  <c r="AK265" i="1"/>
  <c r="AL265" i="1"/>
  <c r="AO265" i="1"/>
  <c r="AP265" i="1"/>
  <c r="BH82" i="1"/>
  <c r="BI82" i="1"/>
  <c r="BJ82" i="1"/>
  <c r="BK82" i="1"/>
  <c r="BJ228" i="1"/>
  <c r="BK228" i="1"/>
  <c r="BJ225" i="1"/>
  <c r="BK225" i="1"/>
  <c r="BJ221" i="1"/>
  <c r="BK221" i="1"/>
  <c r="BJ217" i="1"/>
  <c r="BK217" i="1"/>
  <c r="BJ213" i="1"/>
  <c r="BK213" i="1"/>
  <c r="BJ209" i="1"/>
  <c r="BK209" i="1"/>
  <c r="BJ205" i="1"/>
  <c r="BK205" i="1"/>
  <c r="BJ195" i="1"/>
  <c r="BK195" i="1"/>
  <c r="BJ191" i="1"/>
  <c r="BK191" i="1"/>
  <c r="BJ187" i="1"/>
  <c r="BK187" i="1"/>
  <c r="BI184" i="1"/>
  <c r="BJ184" i="1"/>
  <c r="BK184" i="1"/>
  <c r="BI179" i="1"/>
  <c r="BJ179" i="1"/>
  <c r="BK179" i="1"/>
  <c r="BI174" i="1"/>
  <c r="BJ174" i="1"/>
  <c r="BK174" i="1"/>
  <c r="BI168" i="1"/>
  <c r="BJ168" i="1"/>
  <c r="BK168" i="1"/>
  <c r="BI164" i="1"/>
  <c r="BJ164" i="1"/>
  <c r="BK164" i="1"/>
  <c r="BI160" i="1"/>
  <c r="BJ160" i="1"/>
  <c r="BK160" i="1"/>
  <c r="BI156" i="1"/>
  <c r="BJ156" i="1"/>
  <c r="BK156" i="1"/>
  <c r="BI146" i="1"/>
  <c r="BJ146" i="1"/>
  <c r="BK146" i="1"/>
  <c r="BI142" i="1"/>
  <c r="BJ142" i="1"/>
  <c r="BK142" i="1"/>
  <c r="BI139" i="1"/>
  <c r="BJ139" i="1"/>
  <c r="BK139" i="1"/>
  <c r="BI134" i="1"/>
  <c r="BJ134" i="1"/>
  <c r="BK134" i="1"/>
  <c r="BI125" i="1"/>
  <c r="BJ125" i="1"/>
  <c r="BK125" i="1"/>
  <c r="BJ122" i="1"/>
  <c r="BK122" i="1"/>
  <c r="BJ117" i="1"/>
  <c r="BK117" i="1"/>
  <c r="BJ110" i="1"/>
  <c r="BK110" i="1"/>
  <c r="BJ107" i="1"/>
  <c r="BK107" i="1"/>
  <c r="BJ104" i="1"/>
  <c r="BK104" i="1"/>
  <c r="BJ101" i="1"/>
  <c r="BK101" i="1"/>
  <c r="BJ98" i="1"/>
  <c r="BK98" i="1"/>
  <c r="BJ93" i="1"/>
  <c r="BK93" i="1"/>
  <c r="BJ85" i="1"/>
  <c r="BK85" i="1"/>
  <c r="BJ79" i="1"/>
  <c r="BK79" i="1"/>
  <c r="BJ75" i="1"/>
  <c r="BK75" i="1"/>
  <c r="BJ71" i="1"/>
  <c r="BK71" i="1"/>
  <c r="BJ68" i="1"/>
  <c r="BK68" i="1"/>
  <c r="BJ65" i="1"/>
  <c r="BK65" i="1"/>
  <c r="BJ62" i="1"/>
  <c r="BK62" i="1"/>
  <c r="BJ59" i="1"/>
  <c r="BK59" i="1"/>
  <c r="BJ56" i="1"/>
  <c r="BK56" i="1"/>
  <c r="BJ52" i="1"/>
  <c r="BK52" i="1"/>
  <c r="BJ49" i="1"/>
  <c r="BK49" i="1"/>
  <c r="BJ43" i="1"/>
  <c r="BK43" i="1"/>
  <c r="BJ39" i="1"/>
  <c r="BK39" i="1"/>
  <c r="BJ36" i="1"/>
  <c r="BK36" i="1"/>
  <c r="BJ33" i="1"/>
  <c r="BK33" i="1"/>
  <c r="BJ29" i="1"/>
  <c r="BK29" i="1"/>
  <c r="BJ24" i="1"/>
  <c r="BJ26" i="1" s="1"/>
  <c r="BK24" i="1"/>
  <c r="BK26" i="1" s="1"/>
  <c r="BJ16" i="1"/>
  <c r="BK16" i="1"/>
  <c r="BJ13" i="1"/>
  <c r="BK13" i="1"/>
  <c r="BJ10" i="1"/>
  <c r="BK10" i="1"/>
  <c r="BJ7" i="1"/>
  <c r="BK7" i="1"/>
  <c r="BJ235" i="1"/>
  <c r="BK235" i="1"/>
  <c r="BJ238" i="1"/>
  <c r="BK238" i="1"/>
  <c r="BJ248" i="1"/>
  <c r="BK248" i="1"/>
  <c r="BJ253" i="1"/>
  <c r="BK253" i="1"/>
  <c r="BJ256" i="1"/>
  <c r="BK256" i="1"/>
  <c r="BJ260" i="1"/>
  <c r="BK260" i="1"/>
  <c r="BJ269" i="1"/>
  <c r="BJ271" i="1" s="1"/>
  <c r="BK269" i="1"/>
  <c r="BK271" i="1" s="1"/>
  <c r="BJ286" i="1"/>
  <c r="BJ288" i="1" s="1"/>
  <c r="BK286" i="1"/>
  <c r="BK288" i="1" s="1"/>
  <c r="BJ290" i="1"/>
  <c r="BK290" i="1"/>
  <c r="BS85" i="1" l="1"/>
  <c r="BK240" i="1"/>
  <c r="BK262" i="1"/>
  <c r="BJ240" i="1"/>
  <c r="BJ262" i="1"/>
  <c r="BK223" i="1"/>
  <c r="BK185" i="1"/>
  <c r="BI185" i="1"/>
  <c r="BJ185" i="1"/>
  <c r="BJ223" i="1"/>
  <c r="BJ135" i="1"/>
  <c r="BJ89" i="1"/>
  <c r="BK89" i="1"/>
  <c r="BK135" i="1"/>
  <c r="BH139" i="1"/>
  <c r="BH142" i="1"/>
  <c r="BH146" i="1"/>
  <c r="BH290" i="1"/>
  <c r="BI290" i="1"/>
  <c r="BH286" i="1"/>
  <c r="BH288" i="1" s="1"/>
  <c r="BI286" i="1"/>
  <c r="BI288" i="1" s="1"/>
  <c r="BH269" i="1"/>
  <c r="BH271" i="1" s="1"/>
  <c r="BI269" i="1"/>
  <c r="BI271" i="1" s="1"/>
  <c r="BH260" i="1"/>
  <c r="BI260" i="1"/>
  <c r="BH256" i="1"/>
  <c r="BI256" i="1"/>
  <c r="BH253" i="1"/>
  <c r="BI253" i="1"/>
  <c r="BH248" i="1"/>
  <c r="BI248" i="1"/>
  <c r="BH238" i="1"/>
  <c r="BI238" i="1"/>
  <c r="BH235" i="1"/>
  <c r="BI235" i="1"/>
  <c r="BH228" i="1"/>
  <c r="BI228" i="1"/>
  <c r="BH225" i="1"/>
  <c r="BI225" i="1"/>
  <c r="BH221" i="1"/>
  <c r="BI221" i="1"/>
  <c r="BH217" i="1"/>
  <c r="BI217" i="1"/>
  <c r="BH213" i="1"/>
  <c r="BI213" i="1"/>
  <c r="BH209" i="1"/>
  <c r="BI209" i="1"/>
  <c r="BH205" i="1"/>
  <c r="BI205" i="1"/>
  <c r="BH195" i="1"/>
  <c r="BI195" i="1"/>
  <c r="BH191" i="1"/>
  <c r="BI191" i="1"/>
  <c r="BH187" i="1"/>
  <c r="BI187" i="1"/>
  <c r="BH184" i="1"/>
  <c r="BH179" i="1"/>
  <c r="BH174" i="1"/>
  <c r="BH168" i="1"/>
  <c r="BH164" i="1"/>
  <c r="BH160" i="1"/>
  <c r="BH156" i="1"/>
  <c r="BH134" i="1"/>
  <c r="BH125" i="1"/>
  <c r="BH122" i="1"/>
  <c r="BI122" i="1"/>
  <c r="BH117" i="1"/>
  <c r="BI117" i="1"/>
  <c r="BH113" i="1"/>
  <c r="BI113" i="1"/>
  <c r="BH110" i="1"/>
  <c r="BI110" i="1"/>
  <c r="BH107" i="1"/>
  <c r="BI107" i="1"/>
  <c r="BH104" i="1"/>
  <c r="BI104" i="1"/>
  <c r="BH101" i="1"/>
  <c r="BI101" i="1"/>
  <c r="BH98" i="1"/>
  <c r="BI98" i="1"/>
  <c r="BH93" i="1"/>
  <c r="BI93" i="1"/>
  <c r="BH85" i="1"/>
  <c r="BI85" i="1"/>
  <c r="BH79" i="1"/>
  <c r="BI79" i="1"/>
  <c r="BH65" i="1"/>
  <c r="BI65" i="1"/>
  <c r="BH68" i="1"/>
  <c r="BI68" i="1"/>
  <c r="BH71" i="1"/>
  <c r="BI71" i="1"/>
  <c r="BH75" i="1"/>
  <c r="BI75" i="1"/>
  <c r="BH62" i="1"/>
  <c r="BI62" i="1"/>
  <c r="BH59" i="1"/>
  <c r="BI59" i="1"/>
  <c r="BH56" i="1"/>
  <c r="BI56" i="1"/>
  <c r="BH52" i="1"/>
  <c r="BI52" i="1"/>
  <c r="BH49" i="1"/>
  <c r="BI49" i="1"/>
  <c r="BH43" i="1"/>
  <c r="BI43" i="1"/>
  <c r="BH39" i="1"/>
  <c r="BI39" i="1"/>
  <c r="BH36" i="1"/>
  <c r="BI36" i="1"/>
  <c r="BH33" i="1"/>
  <c r="BI33" i="1"/>
  <c r="BH29" i="1"/>
  <c r="BI29" i="1"/>
  <c r="BH24" i="1"/>
  <c r="BH26" i="1" s="1"/>
  <c r="BI24" i="1"/>
  <c r="BI26" i="1" s="1"/>
  <c r="BH16" i="1"/>
  <c r="BI16" i="1"/>
  <c r="BH13" i="1"/>
  <c r="BI13" i="1"/>
  <c r="BH10" i="1"/>
  <c r="BI10" i="1"/>
  <c r="BH7" i="1"/>
  <c r="BI7" i="1"/>
  <c r="BJ310" i="1" l="1"/>
  <c r="BK310" i="1"/>
  <c r="BI135" i="1"/>
  <c r="BH89" i="1"/>
  <c r="BH135" i="1"/>
  <c r="BI223" i="1"/>
  <c r="BI240" i="1"/>
  <c r="BI89" i="1"/>
  <c r="BH185" i="1"/>
  <c r="BH223" i="1"/>
  <c r="BH240" i="1"/>
  <c r="BI262" i="1"/>
  <c r="BH262" i="1"/>
  <c r="BI310" i="1" l="1"/>
  <c r="BH310" i="1"/>
  <c r="AK85" i="1" l="1"/>
  <c r="AL85" i="1"/>
  <c r="AO85" i="1"/>
  <c r="AP85" i="1"/>
  <c r="AS85" i="1"/>
  <c r="AT85" i="1"/>
  <c r="AW85" i="1"/>
  <c r="AX85" i="1"/>
  <c r="BB85" i="1"/>
  <c r="BC85" i="1"/>
  <c r="AK75" i="1"/>
  <c r="AL75" i="1"/>
  <c r="AO75" i="1"/>
  <c r="AP75" i="1"/>
  <c r="AS75" i="1"/>
  <c r="AT75" i="1"/>
  <c r="AW75" i="1"/>
  <c r="AX75" i="1"/>
  <c r="BB75" i="1"/>
  <c r="BC75" i="1"/>
  <c r="AL62" i="1"/>
  <c r="AO62" i="1"/>
  <c r="AP62" i="1"/>
  <c r="AS62" i="1"/>
  <c r="AT62" i="1"/>
  <c r="AW62" i="1"/>
  <c r="AX62" i="1"/>
  <c r="BB62" i="1"/>
  <c r="BC62" i="1"/>
  <c r="AK33" i="1"/>
  <c r="AL33" i="1"/>
  <c r="AO33" i="1"/>
  <c r="AP33" i="1"/>
  <c r="AS33" i="1"/>
  <c r="AT33" i="1"/>
  <c r="AV33" i="1"/>
  <c r="AW33" i="1"/>
  <c r="AX33" i="1"/>
  <c r="BC33" i="1"/>
  <c r="AY55" i="1"/>
  <c r="BL55" i="1" s="1"/>
  <c r="AY84" i="1"/>
  <c r="BL84" i="1" s="1"/>
  <c r="AY88" i="1"/>
  <c r="BQ55" i="1" l="1"/>
  <c r="BQ84" i="1"/>
  <c r="BL88" i="1"/>
  <c r="BU55" i="1" l="1"/>
  <c r="BU84" i="1"/>
  <c r="BB47" i="1"/>
  <c r="BB32" i="1"/>
  <c r="BB33" i="1" s="1"/>
  <c r="CA84" i="1" l="1"/>
  <c r="CA55" i="1"/>
  <c r="BB217" i="1" l="1"/>
  <c r="BC217" i="1"/>
  <c r="BB290" i="1"/>
  <c r="BC290" i="1"/>
  <c r="BB286" i="1"/>
  <c r="BB288" i="1" s="1"/>
  <c r="BC286" i="1"/>
  <c r="BC288" i="1" s="1"/>
  <c r="BB269" i="1"/>
  <c r="BB271" i="1" s="1"/>
  <c r="BC269" i="1"/>
  <c r="BC271" i="1" s="1"/>
  <c r="BB260" i="1"/>
  <c r="BC260" i="1"/>
  <c r="BB256" i="1"/>
  <c r="BC256" i="1"/>
  <c r="BB253" i="1"/>
  <c r="BC253" i="1"/>
  <c r="BB248" i="1"/>
  <c r="BC248" i="1"/>
  <c r="BB238" i="1"/>
  <c r="BC238" i="1"/>
  <c r="BB235" i="1"/>
  <c r="BC235" i="1"/>
  <c r="BB228" i="1"/>
  <c r="BC228" i="1"/>
  <c r="BB225" i="1"/>
  <c r="BC225" i="1"/>
  <c r="BB221" i="1"/>
  <c r="BC221" i="1"/>
  <c r="BB213" i="1"/>
  <c r="BC213" i="1"/>
  <c r="BB209" i="1"/>
  <c r="BC209" i="1"/>
  <c r="BB205" i="1"/>
  <c r="BC205" i="1"/>
  <c r="BB195" i="1"/>
  <c r="BC195" i="1"/>
  <c r="BB191" i="1"/>
  <c r="BC191" i="1"/>
  <c r="BB187" i="1"/>
  <c r="BC187" i="1"/>
  <c r="BB184" i="1"/>
  <c r="BC184" i="1"/>
  <c r="BB179" i="1"/>
  <c r="BC179" i="1"/>
  <c r="BB174" i="1"/>
  <c r="BC174" i="1"/>
  <c r="BB168" i="1"/>
  <c r="BC168" i="1"/>
  <c r="BB164" i="1"/>
  <c r="BC164" i="1"/>
  <c r="BB160" i="1"/>
  <c r="BC160" i="1"/>
  <c r="BB156" i="1"/>
  <c r="BC156" i="1"/>
  <c r="BB146" i="1"/>
  <c r="BC146" i="1"/>
  <c r="BB142" i="1"/>
  <c r="BC142" i="1"/>
  <c r="BB139" i="1"/>
  <c r="BC139" i="1"/>
  <c r="BB134" i="1"/>
  <c r="BC134" i="1"/>
  <c r="BB125" i="1"/>
  <c r="BC125" i="1"/>
  <c r="BB122" i="1"/>
  <c r="BC122" i="1"/>
  <c r="BB117" i="1"/>
  <c r="BC117" i="1"/>
  <c r="BB113" i="1"/>
  <c r="BC113" i="1"/>
  <c r="BB110" i="1"/>
  <c r="BC110" i="1"/>
  <c r="BB107" i="1"/>
  <c r="BC107" i="1"/>
  <c r="BB104" i="1"/>
  <c r="BC104" i="1"/>
  <c r="BB101" i="1"/>
  <c r="BC101" i="1"/>
  <c r="BB98" i="1"/>
  <c r="BC98" i="1"/>
  <c r="BB93" i="1"/>
  <c r="BC93" i="1"/>
  <c r="BB82" i="1"/>
  <c r="BC82" i="1"/>
  <c r="BB79" i="1"/>
  <c r="BC79" i="1"/>
  <c r="BB71" i="1"/>
  <c r="BC71" i="1"/>
  <c r="BB68" i="1"/>
  <c r="BC68" i="1"/>
  <c r="BB65" i="1"/>
  <c r="BC65" i="1"/>
  <c r="BB59" i="1"/>
  <c r="BC59" i="1"/>
  <c r="BB56" i="1"/>
  <c r="BC56" i="1"/>
  <c r="BB52" i="1"/>
  <c r="BC52" i="1"/>
  <c r="BB49" i="1"/>
  <c r="BC49" i="1"/>
  <c r="BB43" i="1"/>
  <c r="BC43" i="1"/>
  <c r="BB39" i="1"/>
  <c r="BC39" i="1"/>
  <c r="BB36" i="1"/>
  <c r="BC36" i="1"/>
  <c r="BB29" i="1"/>
  <c r="BC29" i="1"/>
  <c r="BC135" i="1" l="1"/>
  <c r="BC185" i="1"/>
  <c r="BC223" i="1"/>
  <c r="BC240" i="1"/>
  <c r="BB135" i="1"/>
  <c r="BB185" i="1"/>
  <c r="BB223" i="1"/>
  <c r="BB240" i="1"/>
  <c r="BC262" i="1"/>
  <c r="BB262" i="1"/>
  <c r="BB24" i="1"/>
  <c r="BB26" i="1" s="1"/>
  <c r="BC24" i="1"/>
  <c r="BC26" i="1" s="1"/>
  <c r="BB16" i="1"/>
  <c r="BC16" i="1"/>
  <c r="BB13" i="1"/>
  <c r="BC13" i="1"/>
  <c r="BB10" i="1"/>
  <c r="BC10" i="1"/>
  <c r="BB7" i="1"/>
  <c r="BC7" i="1"/>
  <c r="BG6" i="1"/>
  <c r="BG8" i="1"/>
  <c r="BG9" i="1"/>
  <c r="BG11" i="1"/>
  <c r="BG12" i="1"/>
  <c r="BG14" i="1"/>
  <c r="BG15" i="1"/>
  <c r="BG17" i="1"/>
  <c r="BG18" i="1"/>
  <c r="BG19" i="1"/>
  <c r="BG20" i="1"/>
  <c r="BG21" i="1"/>
  <c r="BG22" i="1"/>
  <c r="BG23" i="1"/>
  <c r="BG25" i="1"/>
  <c r="BG27" i="1"/>
  <c r="BG28" i="1"/>
  <c r="BG30" i="1"/>
  <c r="BG31" i="1"/>
  <c r="BG32" i="1"/>
  <c r="BG34" i="1"/>
  <c r="BG35" i="1"/>
  <c r="BG37" i="1"/>
  <c r="BG38" i="1"/>
  <c r="BG40" i="1"/>
  <c r="BG41" i="1"/>
  <c r="BG42" i="1"/>
  <c r="BG44" i="1"/>
  <c r="BG45" i="1"/>
  <c r="BG46" i="1"/>
  <c r="BG47" i="1"/>
  <c r="BG48" i="1"/>
  <c r="BG50" i="1"/>
  <c r="BG51" i="1"/>
  <c r="BG53" i="1"/>
  <c r="BG54" i="1"/>
  <c r="BG55" i="1"/>
  <c r="BG57" i="1"/>
  <c r="BG58" i="1"/>
  <c r="BG60" i="1"/>
  <c r="BG61" i="1"/>
  <c r="BG63" i="1"/>
  <c r="BG64" i="1"/>
  <c r="BG66" i="1"/>
  <c r="BG67" i="1"/>
  <c r="BG69" i="1"/>
  <c r="BG70" i="1"/>
  <c r="BG72" i="1"/>
  <c r="BG73" i="1"/>
  <c r="BG74" i="1"/>
  <c r="BG76" i="1"/>
  <c r="BG77" i="1"/>
  <c r="BG78" i="1"/>
  <c r="BG80" i="1"/>
  <c r="BG81" i="1"/>
  <c r="BG83" i="1"/>
  <c r="BG84" i="1"/>
  <c r="BG86" i="1"/>
  <c r="BG87" i="1"/>
  <c r="BG88" i="1"/>
  <c r="BG90" i="1"/>
  <c r="BG91" i="1"/>
  <c r="BG92" i="1"/>
  <c r="BG94" i="1"/>
  <c r="BG95" i="1"/>
  <c r="BG96" i="1"/>
  <c r="BG97" i="1"/>
  <c r="BG99" i="1"/>
  <c r="BG100" i="1"/>
  <c r="BG102" i="1"/>
  <c r="BG103" i="1"/>
  <c r="BG105" i="1"/>
  <c r="BG106" i="1"/>
  <c r="BG108" i="1"/>
  <c r="BG109" i="1"/>
  <c r="BG111" i="1"/>
  <c r="BG112" i="1"/>
  <c r="BG114" i="1"/>
  <c r="BG115" i="1"/>
  <c r="BG116" i="1"/>
  <c r="BG118" i="1"/>
  <c r="BG119" i="1"/>
  <c r="BG120" i="1"/>
  <c r="BG121" i="1"/>
  <c r="BG123" i="1"/>
  <c r="BG124" i="1"/>
  <c r="BG126" i="1"/>
  <c r="BG127" i="1"/>
  <c r="BG128" i="1"/>
  <c r="BG129" i="1"/>
  <c r="BG130" i="1"/>
  <c r="BG131" i="1"/>
  <c r="BG132" i="1"/>
  <c r="BG133" i="1"/>
  <c r="BG136" i="1"/>
  <c r="BG137" i="1"/>
  <c r="BG138" i="1"/>
  <c r="BG140" i="1"/>
  <c r="BG141" i="1"/>
  <c r="BG143" i="1"/>
  <c r="BG144" i="1"/>
  <c r="BG145" i="1"/>
  <c r="BG147" i="1"/>
  <c r="BG148" i="1"/>
  <c r="BG149" i="1"/>
  <c r="BG150" i="1"/>
  <c r="BG151" i="1"/>
  <c r="BG152" i="1"/>
  <c r="BG153" i="1"/>
  <c r="BG154" i="1"/>
  <c r="BG155" i="1"/>
  <c r="BG157" i="1"/>
  <c r="BG158" i="1"/>
  <c r="BG159" i="1"/>
  <c r="BG161" i="1"/>
  <c r="BG162" i="1"/>
  <c r="BG163" i="1"/>
  <c r="BG165" i="1"/>
  <c r="BG166" i="1"/>
  <c r="BG167" i="1"/>
  <c r="BG169" i="1"/>
  <c r="BG170" i="1"/>
  <c r="BG171" i="1"/>
  <c r="BG172" i="1"/>
  <c r="BG173" i="1"/>
  <c r="BG175" i="1"/>
  <c r="BG176" i="1"/>
  <c r="BG177" i="1"/>
  <c r="BG178" i="1"/>
  <c r="BG180" i="1"/>
  <c r="BG181" i="1"/>
  <c r="BG182" i="1"/>
  <c r="BG183" i="1"/>
  <c r="BG186" i="1"/>
  <c r="BG188" i="1"/>
  <c r="BG189" i="1"/>
  <c r="BG190" i="1"/>
  <c r="BG192" i="1"/>
  <c r="BG193" i="1"/>
  <c r="BG194" i="1"/>
  <c r="BG196" i="1"/>
  <c r="BG197" i="1"/>
  <c r="BG198" i="1"/>
  <c r="BG199" i="1"/>
  <c r="BG200" i="1"/>
  <c r="BG201" i="1"/>
  <c r="BG202" i="1"/>
  <c r="BG203" i="1"/>
  <c r="BG204" i="1"/>
  <c r="BG206" i="1"/>
  <c r="BG207" i="1"/>
  <c r="BG208" i="1"/>
  <c r="BG210" i="1"/>
  <c r="BG211" i="1"/>
  <c r="BG212" i="1"/>
  <c r="BG214" i="1"/>
  <c r="BG215" i="1"/>
  <c r="BG216" i="1"/>
  <c r="BG218" i="1"/>
  <c r="BG219" i="1"/>
  <c r="BG220" i="1"/>
  <c r="BG222" i="1"/>
  <c r="BG224" i="1"/>
  <c r="BG226" i="1"/>
  <c r="BG227" i="1"/>
  <c r="BG229" i="1"/>
  <c r="BG230" i="1"/>
  <c r="BG231" i="1"/>
  <c r="BG232" i="1"/>
  <c r="BG233" i="1"/>
  <c r="BG234" i="1"/>
  <c r="BG236" i="1"/>
  <c r="BG237" i="1"/>
  <c r="BG239" i="1"/>
  <c r="BG241" i="1"/>
  <c r="BG242" i="1"/>
  <c r="BG243" i="1"/>
  <c r="BG244" i="1"/>
  <c r="BG245" i="1"/>
  <c r="BG246" i="1"/>
  <c r="BG247" i="1"/>
  <c r="BG249" i="1"/>
  <c r="BG250" i="1"/>
  <c r="BG251" i="1"/>
  <c r="BG252" i="1"/>
  <c r="BG254" i="1"/>
  <c r="BG255" i="1"/>
  <c r="BG257" i="1"/>
  <c r="BG258" i="1"/>
  <c r="BG259" i="1"/>
  <c r="BG261" i="1"/>
  <c r="BG263" i="1"/>
  <c r="BG264" i="1"/>
  <c r="BG266" i="1"/>
  <c r="BG267" i="1"/>
  <c r="BG268" i="1"/>
  <c r="BG270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7" i="1"/>
  <c r="BG289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9" i="1"/>
  <c r="BG5" i="1"/>
  <c r="BF6" i="1"/>
  <c r="BF8" i="1"/>
  <c r="BF9" i="1"/>
  <c r="BF11" i="1"/>
  <c r="BF12" i="1"/>
  <c r="BF14" i="1"/>
  <c r="BF15" i="1"/>
  <c r="BF17" i="1"/>
  <c r="BF18" i="1"/>
  <c r="BF19" i="1"/>
  <c r="BF20" i="1"/>
  <c r="BF21" i="1"/>
  <c r="BF22" i="1"/>
  <c r="BF23" i="1"/>
  <c r="BF25" i="1"/>
  <c r="BF27" i="1"/>
  <c r="BF28" i="1"/>
  <c r="BF30" i="1"/>
  <c r="BF31" i="1"/>
  <c r="BF32" i="1"/>
  <c r="BF34" i="1"/>
  <c r="BF35" i="1"/>
  <c r="BF37" i="1"/>
  <c r="BF38" i="1"/>
  <c r="BF40" i="1"/>
  <c r="BF41" i="1"/>
  <c r="BF42" i="1"/>
  <c r="BF44" i="1"/>
  <c r="BF45" i="1"/>
  <c r="BF46" i="1"/>
  <c r="BF47" i="1"/>
  <c r="BF48" i="1"/>
  <c r="BF50" i="1"/>
  <c r="BF51" i="1"/>
  <c r="BF53" i="1"/>
  <c r="BF54" i="1"/>
  <c r="BF55" i="1"/>
  <c r="BF57" i="1"/>
  <c r="BF58" i="1"/>
  <c r="BF60" i="1"/>
  <c r="BF61" i="1"/>
  <c r="BF63" i="1"/>
  <c r="BF64" i="1"/>
  <c r="BF66" i="1"/>
  <c r="BF67" i="1"/>
  <c r="BF69" i="1"/>
  <c r="BF70" i="1"/>
  <c r="BF72" i="1"/>
  <c r="BF73" i="1"/>
  <c r="BF74" i="1"/>
  <c r="BF76" i="1"/>
  <c r="BF77" i="1"/>
  <c r="BF78" i="1"/>
  <c r="BF80" i="1"/>
  <c r="BF81" i="1"/>
  <c r="BF83" i="1"/>
  <c r="BF84" i="1"/>
  <c r="BF86" i="1"/>
  <c r="BF87" i="1"/>
  <c r="BF88" i="1"/>
  <c r="BF90" i="1"/>
  <c r="BF91" i="1"/>
  <c r="BF92" i="1"/>
  <c r="BF94" i="1"/>
  <c r="BF95" i="1"/>
  <c r="BF96" i="1"/>
  <c r="BF97" i="1"/>
  <c r="BF99" i="1"/>
  <c r="BF100" i="1"/>
  <c r="BF102" i="1"/>
  <c r="BF103" i="1"/>
  <c r="BF105" i="1"/>
  <c r="BF106" i="1"/>
  <c r="BF108" i="1"/>
  <c r="BF109" i="1"/>
  <c r="BF111" i="1"/>
  <c r="BF112" i="1"/>
  <c r="BF114" i="1"/>
  <c r="BF115" i="1"/>
  <c r="BF116" i="1"/>
  <c r="BF118" i="1"/>
  <c r="BF119" i="1"/>
  <c r="BF120" i="1"/>
  <c r="BF121" i="1"/>
  <c r="BF123" i="1"/>
  <c r="BF124" i="1"/>
  <c r="BF126" i="1"/>
  <c r="BF127" i="1"/>
  <c r="BF128" i="1"/>
  <c r="BF129" i="1"/>
  <c r="BF130" i="1"/>
  <c r="BF131" i="1"/>
  <c r="BF132" i="1"/>
  <c r="BF133" i="1"/>
  <c r="BF136" i="1"/>
  <c r="BF137" i="1"/>
  <c r="BF138" i="1"/>
  <c r="BF140" i="1"/>
  <c r="BF141" i="1"/>
  <c r="BF143" i="1"/>
  <c r="BF144" i="1"/>
  <c r="BF145" i="1"/>
  <c r="BF147" i="1"/>
  <c r="BF148" i="1"/>
  <c r="BF149" i="1"/>
  <c r="BF150" i="1"/>
  <c r="BF151" i="1"/>
  <c r="BF152" i="1"/>
  <c r="BF153" i="1"/>
  <c r="BF154" i="1"/>
  <c r="BF155" i="1"/>
  <c r="BF157" i="1"/>
  <c r="BF158" i="1"/>
  <c r="BF159" i="1"/>
  <c r="BF161" i="1"/>
  <c r="BF162" i="1"/>
  <c r="BF163" i="1"/>
  <c r="BF165" i="1"/>
  <c r="BF166" i="1"/>
  <c r="BF167" i="1"/>
  <c r="BF169" i="1"/>
  <c r="BF170" i="1"/>
  <c r="BF171" i="1"/>
  <c r="BF172" i="1"/>
  <c r="BF173" i="1"/>
  <c r="BF175" i="1"/>
  <c r="BF176" i="1"/>
  <c r="BF177" i="1"/>
  <c r="BF178" i="1"/>
  <c r="BF180" i="1"/>
  <c r="BF181" i="1"/>
  <c r="BF182" i="1"/>
  <c r="BF183" i="1"/>
  <c r="BF186" i="1"/>
  <c r="BF188" i="1"/>
  <c r="BF189" i="1"/>
  <c r="BF190" i="1"/>
  <c r="BF192" i="1"/>
  <c r="BF193" i="1"/>
  <c r="BF194" i="1"/>
  <c r="BF196" i="1"/>
  <c r="BF197" i="1"/>
  <c r="BF198" i="1"/>
  <c r="BF199" i="1"/>
  <c r="BF200" i="1"/>
  <c r="BF201" i="1"/>
  <c r="BF202" i="1"/>
  <c r="BF203" i="1"/>
  <c r="BF204" i="1"/>
  <c r="BF206" i="1"/>
  <c r="BF207" i="1"/>
  <c r="BF208" i="1"/>
  <c r="BF210" i="1"/>
  <c r="BF211" i="1"/>
  <c r="BF212" i="1"/>
  <c r="BF214" i="1"/>
  <c r="BF215" i="1"/>
  <c r="BF216" i="1"/>
  <c r="BF218" i="1"/>
  <c r="BF219" i="1"/>
  <c r="BF220" i="1"/>
  <c r="BF222" i="1"/>
  <c r="BF224" i="1"/>
  <c r="BF226" i="1"/>
  <c r="BF227" i="1"/>
  <c r="BF229" i="1"/>
  <c r="BF230" i="1"/>
  <c r="BF231" i="1"/>
  <c r="BF232" i="1"/>
  <c r="BF233" i="1"/>
  <c r="BF234" i="1"/>
  <c r="BF236" i="1"/>
  <c r="BF237" i="1"/>
  <c r="BF239" i="1"/>
  <c r="BF241" i="1"/>
  <c r="BF242" i="1"/>
  <c r="BF243" i="1"/>
  <c r="BF244" i="1"/>
  <c r="BF245" i="1"/>
  <c r="BF246" i="1"/>
  <c r="BF247" i="1"/>
  <c r="BF249" i="1"/>
  <c r="BF250" i="1"/>
  <c r="BF251" i="1"/>
  <c r="BF252" i="1"/>
  <c r="BF254" i="1"/>
  <c r="BF255" i="1"/>
  <c r="BF257" i="1"/>
  <c r="BF258" i="1"/>
  <c r="BF259" i="1"/>
  <c r="BF261" i="1"/>
  <c r="BF263" i="1"/>
  <c r="BF264" i="1"/>
  <c r="BF266" i="1"/>
  <c r="BF267" i="1"/>
  <c r="BF268" i="1"/>
  <c r="BF270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7" i="1"/>
  <c r="BF289" i="1"/>
  <c r="BF290" i="1" s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9" i="1"/>
  <c r="BF5" i="1"/>
  <c r="BF308" i="1" l="1"/>
  <c r="BF265" i="1"/>
  <c r="BG85" i="1"/>
  <c r="BB89" i="1"/>
  <c r="BB310" i="1" s="1"/>
  <c r="BG265" i="1"/>
  <c r="BC89" i="1"/>
  <c r="BC310" i="1" s="1"/>
  <c r="BG308" i="1"/>
  <c r="BG75" i="1"/>
  <c r="BG62" i="1"/>
  <c r="BF85" i="1"/>
  <c r="BF75" i="1"/>
  <c r="BF62" i="1"/>
  <c r="BF33" i="1"/>
  <c r="BG33" i="1"/>
  <c r="BF7" i="1"/>
  <c r="BF13" i="1"/>
  <c r="BG10" i="1"/>
  <c r="BF16" i="1"/>
  <c r="BF10" i="1"/>
  <c r="BG179" i="1"/>
  <c r="BG13" i="1"/>
  <c r="BF179" i="1"/>
  <c r="BG184" i="1"/>
  <c r="BG39" i="1"/>
  <c r="BF139" i="1"/>
  <c r="BF24" i="1"/>
  <c r="BF26" i="1" s="1"/>
  <c r="BF217" i="1"/>
  <c r="BF213" i="1"/>
  <c r="BF134" i="1"/>
  <c r="BF125" i="1"/>
  <c r="BF82" i="1"/>
  <c r="BF43" i="1"/>
  <c r="BF36" i="1"/>
  <c r="BG290" i="1"/>
  <c r="BG134" i="1"/>
  <c r="BG82" i="1"/>
  <c r="BG52" i="1"/>
  <c r="BG43" i="1"/>
  <c r="BG36" i="1"/>
  <c r="BF52" i="1"/>
  <c r="BG125" i="1"/>
  <c r="BF286" i="1"/>
  <c r="BF288" i="1" s="1"/>
  <c r="BF256" i="1"/>
  <c r="BF253" i="1"/>
  <c r="BF235" i="1"/>
  <c r="BF187" i="1"/>
  <c r="BF160" i="1"/>
  <c r="BF142" i="1"/>
  <c r="BF110" i="1"/>
  <c r="BF104" i="1"/>
  <c r="BF98" i="1"/>
  <c r="BF93" i="1"/>
  <c r="BF79" i="1"/>
  <c r="BF68" i="1"/>
  <c r="BF59" i="1"/>
  <c r="BF49" i="1"/>
  <c r="BF29" i="1"/>
  <c r="BG286" i="1"/>
  <c r="BG288" i="1" s="1"/>
  <c r="BG187" i="1"/>
  <c r="BG160" i="1"/>
  <c r="BG110" i="1"/>
  <c r="BG98" i="1"/>
  <c r="BG93" i="1"/>
  <c r="BG79" i="1"/>
  <c r="BG68" i="1"/>
  <c r="BG59" i="1"/>
  <c r="BG29" i="1"/>
  <c r="BG142" i="1"/>
  <c r="BG104" i="1"/>
  <c r="BG49" i="1"/>
  <c r="BG7" i="1"/>
  <c r="BG24" i="1"/>
  <c r="BG26" i="1" s="1"/>
  <c r="BF269" i="1"/>
  <c r="BF271" i="1" s="1"/>
  <c r="BF248" i="1"/>
  <c r="BF225" i="1"/>
  <c r="BF221" i="1"/>
  <c r="BF209" i="1"/>
  <c r="BF195" i="1"/>
  <c r="BF191" i="1"/>
  <c r="BF184" i="1"/>
  <c r="BF174" i="1"/>
  <c r="BF168" i="1"/>
  <c r="BF156" i="1"/>
  <c r="BF122" i="1"/>
  <c r="BF117" i="1"/>
  <c r="BF56" i="1"/>
  <c r="BF39" i="1"/>
  <c r="BG269" i="1"/>
  <c r="BG271" i="1" s="1"/>
  <c r="BG191" i="1"/>
  <c r="BG174" i="1"/>
  <c r="BG168" i="1"/>
  <c r="BG156" i="1"/>
  <c r="BG122" i="1"/>
  <c r="BG117" i="1"/>
  <c r="BG56" i="1"/>
  <c r="BF260" i="1"/>
  <c r="BF238" i="1"/>
  <c r="BF228" i="1"/>
  <c r="BF205" i="1"/>
  <c r="BF164" i="1"/>
  <c r="BF146" i="1"/>
  <c r="BF113" i="1"/>
  <c r="BF107" i="1"/>
  <c r="BF101" i="1"/>
  <c r="BF71" i="1"/>
  <c r="BF65" i="1"/>
  <c r="BG260" i="1"/>
  <c r="BG146" i="1"/>
  <c r="BG113" i="1"/>
  <c r="BG107" i="1"/>
  <c r="BG101" i="1"/>
  <c r="BG164" i="1"/>
  <c r="BG139" i="1"/>
  <c r="BG71" i="1"/>
  <c r="BG65" i="1"/>
  <c r="BG16" i="1"/>
  <c r="BG213" i="1"/>
  <c r="BG248" i="1"/>
  <c r="BG225" i="1"/>
  <c r="BG221" i="1"/>
  <c r="BG209" i="1"/>
  <c r="BG195" i="1"/>
  <c r="BG253" i="1"/>
  <c r="BG217" i="1"/>
  <c r="BG256" i="1"/>
  <c r="BG235" i="1"/>
  <c r="BG238" i="1"/>
  <c r="BG228" i="1"/>
  <c r="BG205" i="1"/>
  <c r="BF262" i="1" l="1"/>
  <c r="BG223" i="1"/>
  <c r="BF223" i="1"/>
  <c r="BG89" i="1"/>
  <c r="BF89" i="1"/>
  <c r="BG240" i="1"/>
  <c r="BF240" i="1"/>
  <c r="BG135" i="1"/>
  <c r="BF135" i="1"/>
  <c r="BG185" i="1"/>
  <c r="BF185" i="1"/>
  <c r="BG262" i="1"/>
  <c r="AZ31" i="1"/>
  <c r="BM31" i="1" s="1"/>
  <c r="AZ32" i="1"/>
  <c r="BM32" i="1" s="1"/>
  <c r="AZ47" i="1"/>
  <c r="BM47" i="1" s="1"/>
  <c r="AZ48" i="1"/>
  <c r="BM48" i="1" s="1"/>
  <c r="AZ55" i="1"/>
  <c r="BM55" i="1" s="1"/>
  <c r="AZ61" i="1"/>
  <c r="BM61" i="1" s="1"/>
  <c r="AZ73" i="1"/>
  <c r="BM73" i="1" s="1"/>
  <c r="AZ74" i="1"/>
  <c r="BM74" i="1" s="1"/>
  <c r="AZ84" i="1"/>
  <c r="BM84" i="1" s="1"/>
  <c r="AZ88" i="1"/>
  <c r="BM88" i="1" s="1"/>
  <c r="AX229" i="1"/>
  <c r="BR55" i="1" l="1"/>
  <c r="BR74" i="1"/>
  <c r="BR48" i="1"/>
  <c r="BR84" i="1"/>
  <c r="BR61" i="1"/>
  <c r="BR32" i="1"/>
  <c r="BF310" i="1"/>
  <c r="BR31" i="1"/>
  <c r="BV31" i="1" s="1"/>
  <c r="CB31" i="1" s="1"/>
  <c r="BR73" i="1"/>
  <c r="BR47" i="1"/>
  <c r="BV47" i="1" s="1"/>
  <c r="CB47" i="1" s="1"/>
  <c r="BG310" i="1"/>
  <c r="BE74" i="1"/>
  <c r="BE73" i="1"/>
  <c r="BE47" i="1"/>
  <c r="BE88" i="1"/>
  <c r="BE61" i="1"/>
  <c r="BE32" i="1"/>
  <c r="BE84" i="1"/>
  <c r="BE55" i="1"/>
  <c r="BE31" i="1"/>
  <c r="BE48" i="1"/>
  <c r="AX120" i="1"/>
  <c r="AX94" i="1"/>
  <c r="BV73" i="1" l="1"/>
  <c r="CB73" i="1" s="1"/>
  <c r="BV61" i="1"/>
  <c r="CB61" i="1" s="1"/>
  <c r="BV55" i="1"/>
  <c r="BV32" i="1"/>
  <c r="BV33" i="1" s="1"/>
  <c r="BV74" i="1"/>
  <c r="BV48" i="1"/>
  <c r="BV84" i="1"/>
  <c r="CB48" i="1" l="1"/>
  <c r="CB55" i="1"/>
  <c r="CB84" i="1"/>
  <c r="CB74" i="1"/>
  <c r="CB32" i="1"/>
  <c r="BV49" i="1"/>
  <c r="BV75" i="1"/>
  <c r="BV62" i="1"/>
  <c r="BN55" i="1"/>
  <c r="BD55" i="1" l="1"/>
  <c r="AW290" i="1" l="1"/>
  <c r="AX290" i="1"/>
  <c r="AW286" i="1"/>
  <c r="AW288" i="1" s="1"/>
  <c r="AX286" i="1"/>
  <c r="AX288" i="1" s="1"/>
  <c r="AW269" i="1"/>
  <c r="AW271" i="1" s="1"/>
  <c r="AX269" i="1"/>
  <c r="AX271" i="1" s="1"/>
  <c r="AW260" i="1"/>
  <c r="AX260" i="1"/>
  <c r="AW256" i="1"/>
  <c r="AX256" i="1"/>
  <c r="AW253" i="1"/>
  <c r="AX253" i="1"/>
  <c r="AW248" i="1"/>
  <c r="AX248" i="1"/>
  <c r="AW238" i="1"/>
  <c r="AX238" i="1"/>
  <c r="AW235" i="1"/>
  <c r="AX235" i="1"/>
  <c r="AW228" i="1"/>
  <c r="AX228" i="1"/>
  <c r="AW225" i="1"/>
  <c r="AX225" i="1"/>
  <c r="AW221" i="1"/>
  <c r="AX221" i="1"/>
  <c r="AW217" i="1"/>
  <c r="AX217" i="1"/>
  <c r="AW213" i="1"/>
  <c r="AX213" i="1"/>
  <c r="AW209" i="1"/>
  <c r="AX209" i="1"/>
  <c r="AW205" i="1"/>
  <c r="AX205" i="1"/>
  <c r="AW195" i="1"/>
  <c r="AX195" i="1"/>
  <c r="AW191" i="1"/>
  <c r="AX191" i="1"/>
  <c r="AW187" i="1"/>
  <c r="AX187" i="1"/>
  <c r="AW184" i="1"/>
  <c r="AX184" i="1"/>
  <c r="AW179" i="1"/>
  <c r="AX179" i="1"/>
  <c r="AW174" i="1"/>
  <c r="AX174" i="1"/>
  <c r="AW168" i="1"/>
  <c r="AX168" i="1"/>
  <c r="AW164" i="1"/>
  <c r="AX164" i="1"/>
  <c r="AW160" i="1"/>
  <c r="AX160" i="1"/>
  <c r="AW156" i="1"/>
  <c r="AX156" i="1"/>
  <c r="AW146" i="1"/>
  <c r="AX146" i="1"/>
  <c r="AW142" i="1"/>
  <c r="AX142" i="1"/>
  <c r="AW139" i="1"/>
  <c r="AX139" i="1"/>
  <c r="AW134" i="1"/>
  <c r="AX134" i="1"/>
  <c r="AW125" i="1"/>
  <c r="AX125" i="1"/>
  <c r="AW122" i="1"/>
  <c r="AX122" i="1"/>
  <c r="AW117" i="1"/>
  <c r="AX117" i="1"/>
  <c r="AW113" i="1"/>
  <c r="AX113" i="1"/>
  <c r="AW110" i="1"/>
  <c r="AX110" i="1"/>
  <c r="AW107" i="1"/>
  <c r="AX107" i="1"/>
  <c r="AW104" i="1"/>
  <c r="AX104" i="1"/>
  <c r="AW101" i="1"/>
  <c r="AX101" i="1"/>
  <c r="AW98" i="1"/>
  <c r="AX98" i="1"/>
  <c r="AW93" i="1"/>
  <c r="AX93" i="1"/>
  <c r="AW82" i="1"/>
  <c r="AX82" i="1"/>
  <c r="AW79" i="1"/>
  <c r="AX79" i="1"/>
  <c r="AW71" i="1"/>
  <c r="AX71" i="1"/>
  <c r="AW68" i="1"/>
  <c r="AX68" i="1"/>
  <c r="AW65" i="1"/>
  <c r="AX65" i="1"/>
  <c r="AW59" i="1"/>
  <c r="AX59" i="1"/>
  <c r="AW56" i="1"/>
  <c r="AX56" i="1"/>
  <c r="AW52" i="1"/>
  <c r="AX52" i="1"/>
  <c r="AW49" i="1"/>
  <c r="AX49" i="1"/>
  <c r="AW43" i="1"/>
  <c r="AX43" i="1"/>
  <c r="AW39" i="1"/>
  <c r="AX39" i="1"/>
  <c r="AW36" i="1"/>
  <c r="AX36" i="1"/>
  <c r="AW29" i="1"/>
  <c r="AX29" i="1"/>
  <c r="AW24" i="1"/>
  <c r="AW26" i="1" s="1"/>
  <c r="AX24" i="1"/>
  <c r="AX26" i="1" s="1"/>
  <c r="AW16" i="1"/>
  <c r="AX16" i="1"/>
  <c r="AW13" i="1"/>
  <c r="AX13" i="1"/>
  <c r="AW10" i="1"/>
  <c r="AX10" i="1"/>
  <c r="AW7" i="1"/>
  <c r="AX7" i="1"/>
  <c r="BA55" i="1"/>
  <c r="AQ73" i="1"/>
  <c r="AY73" i="1" s="1"/>
  <c r="BL73" i="1" s="1"/>
  <c r="AQ74" i="1"/>
  <c r="AY74" i="1" s="1"/>
  <c r="BL74" i="1" s="1"/>
  <c r="AK61" i="1"/>
  <c r="BQ74" i="1" l="1"/>
  <c r="BU74" i="1" s="1"/>
  <c r="CA74" i="1" s="1"/>
  <c r="BQ73" i="1"/>
  <c r="BU73" i="1" s="1"/>
  <c r="CA73" i="1" s="1"/>
  <c r="AW89" i="1"/>
  <c r="AW135" i="1"/>
  <c r="AW185" i="1"/>
  <c r="AW223" i="1"/>
  <c r="AW240" i="1"/>
  <c r="AX89" i="1"/>
  <c r="AX135" i="1"/>
  <c r="AX185" i="1"/>
  <c r="AX223" i="1"/>
  <c r="AX240" i="1"/>
  <c r="AW262" i="1"/>
  <c r="AX262" i="1"/>
  <c r="AQ61" i="1"/>
  <c r="AY61" i="1" s="1"/>
  <c r="AK62" i="1"/>
  <c r="F56" i="1"/>
  <c r="G56" i="1"/>
  <c r="H56" i="1"/>
  <c r="I56" i="1"/>
  <c r="J56" i="1"/>
  <c r="K56" i="1"/>
  <c r="L56" i="1"/>
  <c r="N56" i="1"/>
  <c r="O56" i="1"/>
  <c r="P56" i="1"/>
  <c r="S56" i="1"/>
  <c r="T56" i="1"/>
  <c r="U56" i="1"/>
  <c r="Z56" i="1"/>
  <c r="AA56" i="1"/>
  <c r="AK56" i="1"/>
  <c r="AL56" i="1"/>
  <c r="AO56" i="1"/>
  <c r="AP56" i="1"/>
  <c r="AS56" i="1"/>
  <c r="AT56" i="1"/>
  <c r="AA47" i="1"/>
  <c r="Z47" i="1"/>
  <c r="AU47" i="1"/>
  <c r="AQ48" i="1"/>
  <c r="AM47" i="1"/>
  <c r="AQ47" i="1" s="1"/>
  <c r="AI47" i="1"/>
  <c r="AG2" i="1" s="1"/>
  <c r="AQ31" i="1"/>
  <c r="AY31" i="1" s="1"/>
  <c r="AQ32" i="1"/>
  <c r="AY32" i="1" s="1"/>
  <c r="AW310" i="1" l="1"/>
  <c r="AX310" i="1"/>
  <c r="BD31" i="1"/>
  <c r="BL31" i="1"/>
  <c r="BD32" i="1"/>
  <c r="BL32" i="1"/>
  <c r="CA32" i="1" s="1"/>
  <c r="BA61" i="1"/>
  <c r="BL61" i="1"/>
  <c r="CA61" i="1" s="1"/>
  <c r="AY48" i="1"/>
  <c r="BA48" i="1" s="1"/>
  <c r="BD61" i="1"/>
  <c r="AY47" i="1"/>
  <c r="AV2" i="1" s="1"/>
  <c r="BA31" i="1"/>
  <c r="BA32" i="1"/>
  <c r="BL47" i="1" l="1"/>
  <c r="BQ47" i="1" s="1"/>
  <c r="BN61" i="1"/>
  <c r="BQ61" i="1"/>
  <c r="BN32" i="1"/>
  <c r="BQ32" i="1"/>
  <c r="BN31" i="1"/>
  <c r="BQ31" i="1"/>
  <c r="BU31" i="1" s="1"/>
  <c r="CA31" i="1" s="1"/>
  <c r="BD48" i="1"/>
  <c r="BL48" i="1"/>
  <c r="BD47" i="1"/>
  <c r="BN47" i="1" l="1"/>
  <c r="CA47" i="1"/>
  <c r="BQ48" i="1"/>
  <c r="BU48" i="1" s="1"/>
  <c r="CA48" i="1" s="1"/>
  <c r="BN48" i="1"/>
  <c r="BA47" i="1"/>
  <c r="AV45" i="1"/>
  <c r="AV303" i="1"/>
  <c r="AV304" i="1"/>
  <c r="AV305" i="1"/>
  <c r="AV306" i="1"/>
  <c r="AV307" i="1"/>
  <c r="AU303" i="1"/>
  <c r="AU304" i="1"/>
  <c r="AU305" i="1"/>
  <c r="AU306" i="1"/>
  <c r="AU307" i="1"/>
  <c r="AV287" i="1"/>
  <c r="AV272" i="1"/>
  <c r="AV286" i="1" s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U272" i="1"/>
  <c r="AU286" i="1" s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V224" i="1"/>
  <c r="AV225" i="1" s="1"/>
  <c r="AV207" i="1"/>
  <c r="AV288" i="1" l="1"/>
  <c r="BN73" i="1" l="1"/>
  <c r="AS7" i="1"/>
  <c r="AT7" i="1"/>
  <c r="AS10" i="1"/>
  <c r="AT10" i="1"/>
  <c r="AS13" i="1"/>
  <c r="AT13" i="1"/>
  <c r="AT16" i="1"/>
  <c r="AT24" i="1"/>
  <c r="AT26" i="1" s="1"/>
  <c r="AS29" i="1"/>
  <c r="AT29" i="1"/>
  <c r="AS36" i="1"/>
  <c r="AT36" i="1"/>
  <c r="AS43" i="1"/>
  <c r="AT43" i="1"/>
  <c r="AS39" i="1"/>
  <c r="AT39" i="1"/>
  <c r="AS52" i="1"/>
  <c r="AT52" i="1"/>
  <c r="AS59" i="1"/>
  <c r="AT59" i="1"/>
  <c r="AS65" i="1"/>
  <c r="AT65" i="1"/>
  <c r="AS68" i="1"/>
  <c r="AT68" i="1"/>
  <c r="AS71" i="1"/>
  <c r="AT71" i="1"/>
  <c r="AS79" i="1"/>
  <c r="AT79" i="1"/>
  <c r="AS49" i="1"/>
  <c r="AT49" i="1"/>
  <c r="AS16" i="1"/>
  <c r="AU25" i="1"/>
  <c r="AU37" i="1"/>
  <c r="AT146" i="1"/>
  <c r="BN74" i="1" l="1"/>
  <c r="BD73" i="1"/>
  <c r="BA73" i="1"/>
  <c r="AV309" i="1"/>
  <c r="AS93" i="1"/>
  <c r="AT93" i="1"/>
  <c r="AU224" i="1"/>
  <c r="AU225" i="1" s="1"/>
  <c r="AU287" i="1"/>
  <c r="AU288" i="1" s="1"/>
  <c r="AU309" i="1"/>
  <c r="AS122" i="1"/>
  <c r="AT122" i="1"/>
  <c r="AS98" i="1"/>
  <c r="AT98" i="1"/>
  <c r="AS82" i="1"/>
  <c r="AT82" i="1"/>
  <c r="AT89" i="1" s="1"/>
  <c r="AS24" i="1"/>
  <c r="AS26" i="1" s="1"/>
  <c r="AS89" i="1" l="1"/>
  <c r="BD74" i="1"/>
  <c r="BA74" i="1"/>
  <c r="AS290" i="1" l="1"/>
  <c r="AT290" i="1"/>
  <c r="AS286" i="1"/>
  <c r="AS288" i="1" s="1"/>
  <c r="AT286" i="1"/>
  <c r="AT288" i="1" s="1"/>
  <c r="AS269" i="1"/>
  <c r="AS271" i="1" s="1"/>
  <c r="AT269" i="1"/>
  <c r="AT271" i="1" s="1"/>
  <c r="AS260" i="1"/>
  <c r="AT260" i="1"/>
  <c r="AS256" i="1"/>
  <c r="AT256" i="1"/>
  <c r="AS253" i="1"/>
  <c r="AT253" i="1"/>
  <c r="AS248" i="1"/>
  <c r="AT248" i="1"/>
  <c r="AS238" i="1"/>
  <c r="AT238" i="1"/>
  <c r="AS235" i="1"/>
  <c r="AT235" i="1"/>
  <c r="AS228" i="1"/>
  <c r="AT228" i="1"/>
  <c r="AS225" i="1"/>
  <c r="AT225" i="1"/>
  <c r="AS221" i="1"/>
  <c r="AT221" i="1"/>
  <c r="AS217" i="1"/>
  <c r="AT217" i="1"/>
  <c r="AS213" i="1"/>
  <c r="AT213" i="1"/>
  <c r="AS209" i="1"/>
  <c r="AT209" i="1"/>
  <c r="AS205" i="1"/>
  <c r="AT205" i="1"/>
  <c r="AS195" i="1"/>
  <c r="AT195" i="1"/>
  <c r="AS191" i="1"/>
  <c r="AT191" i="1"/>
  <c r="AS187" i="1"/>
  <c r="AT187" i="1"/>
  <c r="AS184" i="1"/>
  <c r="AT184" i="1"/>
  <c r="AS179" i="1"/>
  <c r="AT179" i="1"/>
  <c r="AS174" i="1"/>
  <c r="AT174" i="1"/>
  <c r="AS168" i="1"/>
  <c r="AT168" i="1"/>
  <c r="AS164" i="1"/>
  <c r="AT164" i="1"/>
  <c r="AS160" i="1"/>
  <c r="AT160" i="1"/>
  <c r="AS156" i="1"/>
  <c r="AT156" i="1"/>
  <c r="AS146" i="1"/>
  <c r="AS142" i="1"/>
  <c r="AT142" i="1"/>
  <c r="AS139" i="1"/>
  <c r="AT139" i="1"/>
  <c r="AS134" i="1"/>
  <c r="AT134" i="1"/>
  <c r="AS125" i="1"/>
  <c r="AT125" i="1"/>
  <c r="AS117" i="1"/>
  <c r="AT117" i="1"/>
  <c r="AS113" i="1"/>
  <c r="AT113" i="1"/>
  <c r="AS110" i="1"/>
  <c r="AT110" i="1"/>
  <c r="AS107" i="1"/>
  <c r="AT107" i="1"/>
  <c r="AS104" i="1"/>
  <c r="AT104" i="1"/>
  <c r="AS101" i="1"/>
  <c r="AT101" i="1"/>
  <c r="AS135" i="1" l="1"/>
  <c r="AT185" i="1"/>
  <c r="AT223" i="1"/>
  <c r="AT240" i="1"/>
  <c r="AT135" i="1"/>
  <c r="AS185" i="1"/>
  <c r="AS223" i="1"/>
  <c r="AS240" i="1"/>
  <c r="AT262" i="1"/>
  <c r="AS262" i="1"/>
  <c r="AS310" i="1" l="1"/>
  <c r="AT310" i="1"/>
  <c r="BN84" i="1" l="1"/>
  <c r="BD84" i="1"/>
  <c r="BA84" i="1"/>
  <c r="AO7" i="1"/>
  <c r="AP7" i="1"/>
  <c r="AO10" i="1"/>
  <c r="AP10" i="1"/>
  <c r="AO13" i="1"/>
  <c r="AP13" i="1"/>
  <c r="AO16" i="1"/>
  <c r="AP16" i="1"/>
  <c r="AO24" i="1"/>
  <c r="AO26" i="1" s="1"/>
  <c r="AP24" i="1"/>
  <c r="AP26" i="1" s="1"/>
  <c r="AO29" i="1"/>
  <c r="AP29" i="1"/>
  <c r="AO36" i="1"/>
  <c r="AP36" i="1"/>
  <c r="AO39" i="1"/>
  <c r="AP39" i="1"/>
  <c r="AO43" i="1"/>
  <c r="AP43" i="1"/>
  <c r="AO52" i="1"/>
  <c r="AP52" i="1"/>
  <c r="AO49" i="1"/>
  <c r="AP49" i="1"/>
  <c r="AO59" i="1"/>
  <c r="AP59" i="1"/>
  <c r="AO65" i="1"/>
  <c r="AP65" i="1"/>
  <c r="AO68" i="1"/>
  <c r="AP68" i="1"/>
  <c r="AO71" i="1"/>
  <c r="AP71" i="1"/>
  <c r="AO79" i="1"/>
  <c r="AP79" i="1"/>
  <c r="AO82" i="1"/>
  <c r="AP82" i="1"/>
  <c r="AO93" i="1"/>
  <c r="AP93" i="1"/>
  <c r="AO98" i="1"/>
  <c r="AP98" i="1"/>
  <c r="AO101" i="1"/>
  <c r="AP101" i="1"/>
  <c r="AO104" i="1"/>
  <c r="AP104" i="1"/>
  <c r="AO107" i="1"/>
  <c r="AP107" i="1"/>
  <c r="AO110" i="1"/>
  <c r="AP110" i="1"/>
  <c r="AO113" i="1"/>
  <c r="AP113" i="1"/>
  <c r="AO117" i="1"/>
  <c r="AP117" i="1"/>
  <c r="AO122" i="1"/>
  <c r="AP122" i="1"/>
  <c r="AO125" i="1"/>
  <c r="AP125" i="1"/>
  <c r="AO134" i="1"/>
  <c r="AP134" i="1"/>
  <c r="AO139" i="1"/>
  <c r="AP139" i="1"/>
  <c r="AO142" i="1"/>
  <c r="AP142" i="1"/>
  <c r="AO146" i="1"/>
  <c r="AP146" i="1"/>
  <c r="AO156" i="1"/>
  <c r="AP156" i="1"/>
  <c r="AO160" i="1"/>
  <c r="AP160" i="1"/>
  <c r="AO164" i="1"/>
  <c r="AP164" i="1"/>
  <c r="AO168" i="1"/>
  <c r="AP168" i="1"/>
  <c r="AO174" i="1"/>
  <c r="AP174" i="1"/>
  <c r="AO179" i="1"/>
  <c r="AP179" i="1"/>
  <c r="AO184" i="1"/>
  <c r="AP184" i="1"/>
  <c r="AO187" i="1"/>
  <c r="AP187" i="1"/>
  <c r="AO191" i="1"/>
  <c r="AP191" i="1"/>
  <c r="AO195" i="1"/>
  <c r="AP195" i="1"/>
  <c r="AO205" i="1"/>
  <c r="AP205" i="1"/>
  <c r="AO209" i="1"/>
  <c r="AP209" i="1"/>
  <c r="AO213" i="1"/>
  <c r="AP213" i="1"/>
  <c r="AO217" i="1"/>
  <c r="AP217" i="1"/>
  <c r="AO221" i="1"/>
  <c r="AP221" i="1"/>
  <c r="AO225" i="1"/>
  <c r="AP225" i="1"/>
  <c r="AO228" i="1"/>
  <c r="AP228" i="1"/>
  <c r="AO238" i="1"/>
  <c r="AP238" i="1"/>
  <c r="AO235" i="1"/>
  <c r="AP235" i="1"/>
  <c r="AO248" i="1"/>
  <c r="AP248" i="1"/>
  <c r="AO253" i="1"/>
  <c r="AP253" i="1"/>
  <c r="AO256" i="1"/>
  <c r="AP256" i="1"/>
  <c r="AO260" i="1"/>
  <c r="AP260" i="1"/>
  <c r="AO269" i="1"/>
  <c r="AO271" i="1" s="1"/>
  <c r="AP269" i="1"/>
  <c r="AP271" i="1" s="1"/>
  <c r="AO286" i="1"/>
  <c r="AO288" i="1" s="1"/>
  <c r="AP286" i="1"/>
  <c r="AP288" i="1" s="1"/>
  <c r="AO290" i="1"/>
  <c r="AP290" i="1"/>
  <c r="AO89" i="1" l="1"/>
  <c r="AO262" i="1"/>
  <c r="AO223" i="1"/>
  <c r="AO185" i="1"/>
  <c r="AP262" i="1"/>
  <c r="AP185" i="1"/>
  <c r="AP135" i="1"/>
  <c r="AP223" i="1"/>
  <c r="AP89" i="1"/>
  <c r="AO135" i="1"/>
  <c r="AP240" i="1"/>
  <c r="AO240" i="1"/>
  <c r="AN186" i="1"/>
  <c r="AR186" i="1" s="1"/>
  <c r="AJ322" i="1"/>
  <c r="AJ323" i="1" s="1"/>
  <c r="AK238" i="1"/>
  <c r="AL238" i="1"/>
  <c r="AK235" i="1"/>
  <c r="AL235" i="1"/>
  <c r="AK248" i="1"/>
  <c r="AL248" i="1"/>
  <c r="AK253" i="1"/>
  <c r="AL253" i="1"/>
  <c r="AK256" i="1"/>
  <c r="AL256" i="1"/>
  <c r="AK260" i="1"/>
  <c r="AL260" i="1"/>
  <c r="AK269" i="1"/>
  <c r="AK271" i="1" s="1"/>
  <c r="AL269" i="1"/>
  <c r="AL271" i="1" s="1"/>
  <c r="AK286" i="1"/>
  <c r="AK288" i="1" s="1"/>
  <c r="AL286" i="1"/>
  <c r="AL288" i="1" s="1"/>
  <c r="AK290" i="1"/>
  <c r="AL290" i="1"/>
  <c r="AL7" i="1"/>
  <c r="AL10" i="1"/>
  <c r="AL13" i="1"/>
  <c r="AL16" i="1"/>
  <c r="AL24" i="1"/>
  <c r="AL26" i="1" s="1"/>
  <c r="AL29" i="1"/>
  <c r="AL36" i="1"/>
  <c r="AL39" i="1"/>
  <c r="AL43" i="1"/>
  <c r="AL49" i="1"/>
  <c r="AL52" i="1"/>
  <c r="AL59" i="1"/>
  <c r="AL65" i="1"/>
  <c r="AL68" i="1"/>
  <c r="AL71" i="1"/>
  <c r="AL79" i="1"/>
  <c r="AK82" i="1"/>
  <c r="AL82" i="1"/>
  <c r="AK93" i="1"/>
  <c r="AL93" i="1"/>
  <c r="AK98" i="1"/>
  <c r="AL98" i="1"/>
  <c r="AK101" i="1"/>
  <c r="AL101" i="1"/>
  <c r="AK104" i="1"/>
  <c r="AL104" i="1"/>
  <c r="AK107" i="1"/>
  <c r="AL107" i="1"/>
  <c r="AK110" i="1"/>
  <c r="AL110" i="1"/>
  <c r="AK113" i="1"/>
  <c r="AL113" i="1"/>
  <c r="AK117" i="1"/>
  <c r="AL117" i="1"/>
  <c r="AK122" i="1"/>
  <c r="AL122" i="1"/>
  <c r="AK125" i="1"/>
  <c r="AL125" i="1"/>
  <c r="AK134" i="1"/>
  <c r="AL134" i="1"/>
  <c r="AK139" i="1"/>
  <c r="AL139" i="1"/>
  <c r="AK142" i="1"/>
  <c r="AL142" i="1"/>
  <c r="AK146" i="1"/>
  <c r="AL146" i="1"/>
  <c r="AK156" i="1"/>
  <c r="AL156" i="1"/>
  <c r="AK160" i="1"/>
  <c r="AL160" i="1"/>
  <c r="AK164" i="1"/>
  <c r="AL164" i="1"/>
  <c r="AK168" i="1"/>
  <c r="AL168" i="1"/>
  <c r="AK174" i="1"/>
  <c r="AL174" i="1"/>
  <c r="AK179" i="1"/>
  <c r="AL179" i="1"/>
  <c r="AK184" i="1"/>
  <c r="AL184" i="1"/>
  <c r="AK187" i="1"/>
  <c r="AL187" i="1"/>
  <c r="AK191" i="1"/>
  <c r="AL191" i="1"/>
  <c r="AK195" i="1"/>
  <c r="AL195" i="1"/>
  <c r="AK205" i="1"/>
  <c r="AL205" i="1"/>
  <c r="AK209" i="1"/>
  <c r="AL209" i="1"/>
  <c r="AL217" i="1"/>
  <c r="AL225" i="1"/>
  <c r="AL228" i="1"/>
  <c r="AK71" i="1"/>
  <c r="AK68" i="1"/>
  <c r="AK65" i="1"/>
  <c r="AK59" i="1"/>
  <c r="AK52" i="1"/>
  <c r="AK49" i="1"/>
  <c r="AK43" i="1"/>
  <c r="AK39" i="1"/>
  <c r="AK36" i="1"/>
  <c r="AK29" i="1"/>
  <c r="AK24" i="1"/>
  <c r="AK26" i="1" s="1"/>
  <c r="AK16" i="1"/>
  <c r="AK13" i="1"/>
  <c r="AK10" i="1"/>
  <c r="AK7" i="1"/>
  <c r="AK221" i="1"/>
  <c r="AN207" i="1"/>
  <c r="AR207" i="1" s="1"/>
  <c r="AZ207" i="1" s="1"/>
  <c r="BM207" i="1" s="1"/>
  <c r="CB207" i="1" s="1"/>
  <c r="AN224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7" i="1"/>
  <c r="AN303" i="1"/>
  <c r="AN304" i="1"/>
  <c r="AN305" i="1"/>
  <c r="AN306" i="1"/>
  <c r="AN307" i="1"/>
  <c r="AN309" i="1"/>
  <c r="AM25" i="1"/>
  <c r="AM37" i="1"/>
  <c r="AM224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7" i="1"/>
  <c r="AM303" i="1"/>
  <c r="AM304" i="1"/>
  <c r="AM305" i="1"/>
  <c r="AM306" i="1"/>
  <c r="AM307" i="1"/>
  <c r="AM309" i="1"/>
  <c r="AJ325" i="1"/>
  <c r="AL218" i="1"/>
  <c r="AL221" i="1" s="1"/>
  <c r="AL185" i="1" l="1"/>
  <c r="AL135" i="1"/>
  <c r="BR207" i="1"/>
  <c r="AK185" i="1"/>
  <c r="AK135" i="1"/>
  <c r="AP310" i="1"/>
  <c r="AL262" i="1"/>
  <c r="AK262" i="1"/>
  <c r="AO310" i="1"/>
  <c r="BN88" i="1"/>
  <c r="BP88" i="1"/>
  <c r="AL89" i="1"/>
  <c r="AL240" i="1"/>
  <c r="BE207" i="1"/>
  <c r="AR187" i="1"/>
  <c r="AN225" i="1"/>
  <c r="AM225" i="1"/>
  <c r="AJ324" i="1"/>
  <c r="AJ326" i="1"/>
  <c r="AN187" i="1"/>
  <c r="BT88" i="1" l="1"/>
  <c r="BR88" i="1"/>
  <c r="BD88" i="1"/>
  <c r="BA88" i="1"/>
  <c r="BO88" i="1" s="1"/>
  <c r="T308" i="1"/>
  <c r="U308" i="1"/>
  <c r="Z308" i="1"/>
  <c r="AA308" i="1"/>
  <c r="T290" i="1"/>
  <c r="U290" i="1"/>
  <c r="Z290" i="1"/>
  <c r="AA290" i="1"/>
  <c r="T286" i="1"/>
  <c r="T288" i="1" s="1"/>
  <c r="U286" i="1"/>
  <c r="U288" i="1" s="1"/>
  <c r="V286" i="1"/>
  <c r="Z286" i="1"/>
  <c r="Z288" i="1" s="1"/>
  <c r="AA286" i="1"/>
  <c r="AA288" i="1" s="1"/>
  <c r="T269" i="1"/>
  <c r="T271" i="1" s="1"/>
  <c r="U269" i="1"/>
  <c r="U271" i="1" s="1"/>
  <c r="Z269" i="1"/>
  <c r="Z271" i="1" s="1"/>
  <c r="AA269" i="1"/>
  <c r="AA271" i="1" s="1"/>
  <c r="T265" i="1"/>
  <c r="U265" i="1"/>
  <c r="Z265" i="1"/>
  <c r="AA265" i="1"/>
  <c r="T260" i="1"/>
  <c r="U260" i="1"/>
  <c r="Z260" i="1"/>
  <c r="AA260" i="1"/>
  <c r="AA256" i="1"/>
  <c r="T256" i="1"/>
  <c r="U256" i="1"/>
  <c r="Z256" i="1"/>
  <c r="T253" i="1"/>
  <c r="U253" i="1"/>
  <c r="Z253" i="1"/>
  <c r="AA253" i="1"/>
  <c r="T248" i="1"/>
  <c r="U248" i="1"/>
  <c r="Z248" i="1"/>
  <c r="AA248" i="1"/>
  <c r="T238" i="1"/>
  <c r="U238" i="1"/>
  <c r="Z238" i="1"/>
  <c r="AA238" i="1"/>
  <c r="T235" i="1"/>
  <c r="U235" i="1"/>
  <c r="Z235" i="1"/>
  <c r="AA235" i="1"/>
  <c r="T228" i="1"/>
  <c r="U228" i="1"/>
  <c r="Z228" i="1"/>
  <c r="AA228" i="1"/>
  <c r="T225" i="1"/>
  <c r="U225" i="1"/>
  <c r="V225" i="1"/>
  <c r="Z225" i="1"/>
  <c r="AA225" i="1"/>
  <c r="T221" i="1"/>
  <c r="U221" i="1"/>
  <c r="Z221" i="1"/>
  <c r="AA221" i="1"/>
  <c r="T217" i="1"/>
  <c r="U217" i="1"/>
  <c r="Z217" i="1"/>
  <c r="AA217" i="1"/>
  <c r="T213" i="1"/>
  <c r="U213" i="1"/>
  <c r="Z213" i="1"/>
  <c r="AA213" i="1"/>
  <c r="T209" i="1"/>
  <c r="U209" i="1"/>
  <c r="Z209" i="1"/>
  <c r="AA209" i="1"/>
  <c r="T205" i="1"/>
  <c r="U205" i="1"/>
  <c r="Z205" i="1"/>
  <c r="AA205" i="1"/>
  <c r="T195" i="1"/>
  <c r="U195" i="1"/>
  <c r="Z195" i="1"/>
  <c r="AA195" i="1"/>
  <c r="T191" i="1"/>
  <c r="U191" i="1"/>
  <c r="Z191" i="1"/>
  <c r="AA191" i="1"/>
  <c r="T187" i="1"/>
  <c r="U187" i="1"/>
  <c r="Z187" i="1"/>
  <c r="AA187" i="1"/>
  <c r="T139" i="1"/>
  <c r="U139" i="1"/>
  <c r="Z139" i="1"/>
  <c r="AA139" i="1"/>
  <c r="T184" i="1"/>
  <c r="U184" i="1"/>
  <c r="Z184" i="1"/>
  <c r="AA184" i="1"/>
  <c r="T179" i="1"/>
  <c r="U179" i="1"/>
  <c r="Z179" i="1"/>
  <c r="AA179" i="1"/>
  <c r="T174" i="1"/>
  <c r="U174" i="1"/>
  <c r="Z174" i="1"/>
  <c r="AA174" i="1"/>
  <c r="T168" i="1"/>
  <c r="U168" i="1"/>
  <c r="Z168" i="1"/>
  <c r="AA168" i="1"/>
  <c r="T164" i="1"/>
  <c r="U164" i="1"/>
  <c r="Z164" i="1"/>
  <c r="AA164" i="1"/>
  <c r="T160" i="1"/>
  <c r="U160" i="1"/>
  <c r="Z160" i="1"/>
  <c r="AA160" i="1"/>
  <c r="V157" i="1"/>
  <c r="W157" i="1"/>
  <c r="Y157" i="1" s="1"/>
  <c r="AE157" i="1" s="1"/>
  <c r="T156" i="1"/>
  <c r="U156" i="1"/>
  <c r="Z156" i="1"/>
  <c r="AA156" i="1"/>
  <c r="T146" i="1"/>
  <c r="U146" i="1"/>
  <c r="Z146" i="1"/>
  <c r="AA146" i="1"/>
  <c r="T142" i="1"/>
  <c r="U142" i="1"/>
  <c r="Z142" i="1"/>
  <c r="AA142" i="1"/>
  <c r="T134" i="1"/>
  <c r="U134" i="1"/>
  <c r="Z134" i="1"/>
  <c r="AA134" i="1"/>
  <c r="T125" i="1"/>
  <c r="U125" i="1"/>
  <c r="Z125" i="1"/>
  <c r="AA125" i="1"/>
  <c r="T122" i="1"/>
  <c r="U122" i="1"/>
  <c r="Z122" i="1"/>
  <c r="AA122" i="1"/>
  <c r="T117" i="1"/>
  <c r="U117" i="1"/>
  <c r="Z117" i="1"/>
  <c r="AA117" i="1"/>
  <c r="T113" i="1"/>
  <c r="U113" i="1"/>
  <c r="Z113" i="1"/>
  <c r="AA113" i="1"/>
  <c r="T110" i="1"/>
  <c r="U110" i="1"/>
  <c r="Z110" i="1"/>
  <c r="AA110" i="1"/>
  <c r="T107" i="1"/>
  <c r="U107" i="1"/>
  <c r="Z107" i="1"/>
  <c r="AA107" i="1"/>
  <c r="T104" i="1"/>
  <c r="U104" i="1"/>
  <c r="Z104" i="1"/>
  <c r="AA104" i="1"/>
  <c r="T101" i="1"/>
  <c r="U101" i="1"/>
  <c r="Z101" i="1"/>
  <c r="AA101" i="1"/>
  <c r="T98" i="1"/>
  <c r="U98" i="1"/>
  <c r="Z98" i="1"/>
  <c r="AA98" i="1"/>
  <c r="T93" i="1"/>
  <c r="U93" i="1"/>
  <c r="Z93" i="1"/>
  <c r="AA93" i="1"/>
  <c r="T85" i="1"/>
  <c r="U85" i="1"/>
  <c r="Z85" i="1"/>
  <c r="AA85" i="1"/>
  <c r="T82" i="1"/>
  <c r="U82" i="1"/>
  <c r="Z82" i="1"/>
  <c r="AA82" i="1"/>
  <c r="T79" i="1"/>
  <c r="U79" i="1"/>
  <c r="Z79" i="1"/>
  <c r="AA79" i="1"/>
  <c r="T75" i="1"/>
  <c r="U75" i="1"/>
  <c r="Z75" i="1"/>
  <c r="AA75" i="1"/>
  <c r="T71" i="1"/>
  <c r="U71" i="1"/>
  <c r="Z71" i="1"/>
  <c r="AA71" i="1"/>
  <c r="T68" i="1"/>
  <c r="U68" i="1"/>
  <c r="Z68" i="1"/>
  <c r="AA68" i="1"/>
  <c r="T65" i="1"/>
  <c r="U65" i="1"/>
  <c r="Z65" i="1"/>
  <c r="AA65" i="1"/>
  <c r="T62" i="1"/>
  <c r="U62" i="1"/>
  <c r="Z62" i="1"/>
  <c r="AA62" i="1"/>
  <c r="T59" i="1"/>
  <c r="U59" i="1"/>
  <c r="Z59" i="1"/>
  <c r="AA59" i="1"/>
  <c r="T52" i="1"/>
  <c r="U52" i="1"/>
  <c r="Z52" i="1"/>
  <c r="AA52" i="1"/>
  <c r="T49" i="1"/>
  <c r="U49" i="1"/>
  <c r="Z49" i="1"/>
  <c r="AA49" i="1"/>
  <c r="T43" i="1"/>
  <c r="U43" i="1"/>
  <c r="Z43" i="1"/>
  <c r="AA43" i="1"/>
  <c r="T39" i="1"/>
  <c r="U39" i="1"/>
  <c r="Z39" i="1"/>
  <c r="AA39" i="1"/>
  <c r="T36" i="1"/>
  <c r="U36" i="1"/>
  <c r="Z36" i="1"/>
  <c r="AA36" i="1"/>
  <c r="T33" i="1"/>
  <c r="U33" i="1"/>
  <c r="Z33" i="1"/>
  <c r="AA33" i="1"/>
  <c r="T29" i="1"/>
  <c r="U29" i="1"/>
  <c r="Z29" i="1"/>
  <c r="AA29" i="1"/>
  <c r="T24" i="1"/>
  <c r="T26" i="1" s="1"/>
  <c r="U24" i="1"/>
  <c r="U26" i="1" s="1"/>
  <c r="Z24" i="1"/>
  <c r="Z26" i="1" s="1"/>
  <c r="AA24" i="1"/>
  <c r="AA26" i="1" s="1"/>
  <c r="Z16" i="1"/>
  <c r="T16" i="1"/>
  <c r="U16" i="1"/>
  <c r="AA16" i="1"/>
  <c r="T13" i="1"/>
  <c r="U13" i="1"/>
  <c r="Z13" i="1"/>
  <c r="AA13" i="1"/>
  <c r="T10" i="1"/>
  <c r="U10" i="1"/>
  <c r="AA10" i="1"/>
  <c r="BV88" i="1" l="1"/>
  <c r="CB88" i="1" s="1"/>
  <c r="Z135" i="1"/>
  <c r="BS88" i="1"/>
  <c r="BQ88" i="1"/>
  <c r="AV157" i="1"/>
  <c r="AN157" i="1"/>
  <c r="AR157" i="1" s="1"/>
  <c r="T185" i="1"/>
  <c r="U185" i="1"/>
  <c r="AA135" i="1"/>
  <c r="Z185" i="1"/>
  <c r="T223" i="1"/>
  <c r="U240" i="1"/>
  <c r="U262" i="1"/>
  <c r="T135" i="1"/>
  <c r="AA185" i="1"/>
  <c r="U223" i="1"/>
  <c r="Z240" i="1"/>
  <c r="Z262" i="1"/>
  <c r="U135" i="1"/>
  <c r="Z223" i="1"/>
  <c r="AA240" i="1"/>
  <c r="AA262" i="1"/>
  <c r="AA223" i="1"/>
  <c r="T240" i="1"/>
  <c r="T262" i="1"/>
  <c r="T7" i="1"/>
  <c r="T89" i="1" s="1"/>
  <c r="U7" i="1"/>
  <c r="U89" i="1" s="1"/>
  <c r="AA7" i="1"/>
  <c r="AA89" i="1" s="1"/>
  <c r="AB9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5" i="1"/>
  <c r="AC25" i="1" s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C37" i="1" s="1"/>
  <c r="AB38" i="1"/>
  <c r="AB39" i="1"/>
  <c r="AB40" i="1"/>
  <c r="AB41" i="1"/>
  <c r="AB42" i="1"/>
  <c r="AB43" i="1"/>
  <c r="AB44" i="1"/>
  <c r="AB45" i="1"/>
  <c r="AB46" i="1"/>
  <c r="AB47" i="1"/>
  <c r="AB48" i="1"/>
  <c r="AB50" i="1"/>
  <c r="AB51" i="1"/>
  <c r="AB52" i="1"/>
  <c r="AB53" i="1"/>
  <c r="AB54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4" i="1"/>
  <c r="AC224" i="1" s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3" i="1"/>
  <c r="AB264" i="1"/>
  <c r="AB265" i="1"/>
  <c r="AB266" i="1"/>
  <c r="AB267" i="1"/>
  <c r="AB268" i="1"/>
  <c r="AB269" i="1"/>
  <c r="AB270" i="1"/>
  <c r="AB271" i="1"/>
  <c r="AB272" i="1"/>
  <c r="AB273" i="1"/>
  <c r="AC273" i="1" s="1"/>
  <c r="AB274" i="1"/>
  <c r="AB275" i="1"/>
  <c r="AC275" i="1" s="1"/>
  <c r="AB276" i="1"/>
  <c r="AC276" i="1" s="1"/>
  <c r="AB277" i="1"/>
  <c r="AC277" i="1" s="1"/>
  <c r="AB278" i="1"/>
  <c r="AC278" i="1" s="1"/>
  <c r="AB279" i="1"/>
  <c r="AC279" i="1" s="1"/>
  <c r="AB280" i="1"/>
  <c r="AC280" i="1" s="1"/>
  <c r="AB281" i="1"/>
  <c r="AC281" i="1" s="1"/>
  <c r="AB282" i="1"/>
  <c r="AC282" i="1" s="1"/>
  <c r="AB283" i="1"/>
  <c r="AC283" i="1" s="1"/>
  <c r="AB284" i="1"/>
  <c r="AC284" i="1" s="1"/>
  <c r="AB285" i="1"/>
  <c r="AC285" i="1" s="1"/>
  <c r="AB286" i="1"/>
  <c r="AB287" i="1"/>
  <c r="AC287" i="1" s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C303" i="1" s="1"/>
  <c r="AB304" i="1"/>
  <c r="AC304" i="1" s="1"/>
  <c r="AB305" i="1"/>
  <c r="AC305" i="1" s="1"/>
  <c r="AB306" i="1"/>
  <c r="AC306" i="1" s="1"/>
  <c r="AB307" i="1"/>
  <c r="AC307" i="1" s="1"/>
  <c r="AB308" i="1"/>
  <c r="AB309" i="1"/>
  <c r="AC309" i="1" s="1"/>
  <c r="AC274" i="1"/>
  <c r="AB135" i="1" l="1"/>
  <c r="BU88" i="1"/>
  <c r="CA88" i="1" s="1"/>
  <c r="AB223" i="1"/>
  <c r="AB185" i="1"/>
  <c r="AB262" i="1"/>
  <c r="AB240" i="1"/>
  <c r="AB56" i="1"/>
  <c r="AZ157" i="1"/>
  <c r="BM157" i="1" s="1"/>
  <c r="CB157" i="1" s="1"/>
  <c r="AA310" i="1"/>
  <c r="T310" i="1"/>
  <c r="U310" i="1"/>
  <c r="AB49" i="1"/>
  <c r="AB24" i="1"/>
  <c r="BR157" i="1" l="1"/>
  <c r="BE157" i="1"/>
  <c r="H308" i="1"/>
  <c r="H310" i="1" s="1"/>
  <c r="AK228" i="1" l="1"/>
  <c r="AK240" i="1" s="1"/>
  <c r="AK225" i="1"/>
  <c r="AK217" i="1"/>
  <c r="AK213" i="1"/>
  <c r="AL213" i="1"/>
  <c r="AL223" i="1" s="1"/>
  <c r="AL310" i="1" s="1"/>
  <c r="AK79" i="1"/>
  <c r="AK89" i="1" s="1"/>
  <c r="AJ224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7" i="1"/>
  <c r="AJ303" i="1"/>
  <c r="AJ304" i="1"/>
  <c r="AJ305" i="1"/>
  <c r="AJ306" i="1"/>
  <c r="AJ307" i="1"/>
  <c r="AJ309" i="1"/>
  <c r="AI25" i="1"/>
  <c r="AI37" i="1"/>
  <c r="AI224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7" i="1"/>
  <c r="AI303" i="1"/>
  <c r="AI304" i="1"/>
  <c r="AI305" i="1"/>
  <c r="AI306" i="1"/>
  <c r="AI307" i="1"/>
  <c r="AI309" i="1"/>
  <c r="AH224" i="1"/>
  <c r="AR224" i="1" s="1"/>
  <c r="AZ224" i="1" s="1"/>
  <c r="BM224" i="1" s="1"/>
  <c r="CB224" i="1" s="1"/>
  <c r="CB225" i="1" s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7" i="1"/>
  <c r="AH303" i="1"/>
  <c r="AH304" i="1"/>
  <c r="AH305" i="1"/>
  <c r="AH306" i="1"/>
  <c r="AH307" i="1"/>
  <c r="AH309" i="1"/>
  <c r="AG25" i="1"/>
  <c r="AG37" i="1"/>
  <c r="AQ37" i="1" s="1"/>
  <c r="AY37" i="1" s="1"/>
  <c r="BL37" i="1" s="1"/>
  <c r="AG224" i="1"/>
  <c r="AQ224" i="1" s="1"/>
  <c r="AY224" i="1" s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7" i="1"/>
  <c r="AG303" i="1"/>
  <c r="AG304" i="1"/>
  <c r="AG305" i="1"/>
  <c r="AG306" i="1"/>
  <c r="AG307" i="1"/>
  <c r="AG309" i="1"/>
  <c r="BQ37" i="1" l="1"/>
  <c r="BU37" i="1" s="1"/>
  <c r="CA37" i="1" s="1"/>
  <c r="BM225" i="1"/>
  <c r="AR307" i="1"/>
  <c r="AQ307" i="1"/>
  <c r="AK223" i="1"/>
  <c r="AK310" i="1" s="1"/>
  <c r="AY225" i="1"/>
  <c r="BL224" i="1"/>
  <c r="BD37" i="1"/>
  <c r="BE224" i="1"/>
  <c r="AZ225" i="1"/>
  <c r="AI225" i="1"/>
  <c r="AJ225" i="1"/>
  <c r="AR225" i="1"/>
  <c r="AQ225" i="1"/>
  <c r="AQ275" i="1"/>
  <c r="AY275" i="1" s="1"/>
  <c r="BL275" i="1" s="1"/>
  <c r="AQ285" i="1"/>
  <c r="AY285" i="1" s="1"/>
  <c r="BL285" i="1" s="1"/>
  <c r="AQ306" i="1"/>
  <c r="AY306" i="1" s="1"/>
  <c r="BL306" i="1" s="1"/>
  <c r="AQ287" i="1"/>
  <c r="AY287" i="1" s="1"/>
  <c r="BL287" i="1" s="1"/>
  <c r="AQ282" i="1"/>
  <c r="AY282" i="1" s="1"/>
  <c r="BL282" i="1" s="1"/>
  <c r="AQ278" i="1"/>
  <c r="AY278" i="1" s="1"/>
  <c r="BL278" i="1" s="1"/>
  <c r="AQ274" i="1"/>
  <c r="AY274" i="1" s="1"/>
  <c r="BL274" i="1" s="1"/>
  <c r="AQ25" i="1"/>
  <c r="AR305" i="1"/>
  <c r="AR285" i="1"/>
  <c r="AZ285" i="1" s="1"/>
  <c r="BM285" i="1" s="1"/>
  <c r="AR281" i="1"/>
  <c r="AR277" i="1"/>
  <c r="AR273" i="1"/>
  <c r="AQ283" i="1"/>
  <c r="AY283" i="1" s="1"/>
  <c r="BL283" i="1" s="1"/>
  <c r="AR306" i="1"/>
  <c r="AZ306" i="1" s="1"/>
  <c r="BM306" i="1" s="1"/>
  <c r="AR274" i="1"/>
  <c r="AZ274" i="1" s="1"/>
  <c r="BM274" i="1" s="1"/>
  <c r="AQ303" i="1"/>
  <c r="AY303" i="1" s="1"/>
  <c r="BL303" i="1" s="1"/>
  <c r="AQ279" i="1"/>
  <c r="AY279" i="1" s="1"/>
  <c r="BL279" i="1" s="1"/>
  <c r="AR287" i="1"/>
  <c r="AR282" i="1"/>
  <c r="AQ309" i="1"/>
  <c r="AY309" i="1" s="1"/>
  <c r="BL309" i="1" s="1"/>
  <c r="AQ304" i="1"/>
  <c r="AY304" i="1" s="1"/>
  <c r="BL304" i="1" s="1"/>
  <c r="AQ284" i="1"/>
  <c r="AY284" i="1" s="1"/>
  <c r="BL284" i="1" s="1"/>
  <c r="AQ280" i="1"/>
  <c r="AY280" i="1" s="1"/>
  <c r="BL280" i="1" s="1"/>
  <c r="AQ276" i="1"/>
  <c r="AY276" i="1" s="1"/>
  <c r="BL276" i="1" s="1"/>
  <c r="AR303" i="1"/>
  <c r="AZ303" i="1" s="1"/>
  <c r="BM303" i="1" s="1"/>
  <c r="AR283" i="1"/>
  <c r="AZ283" i="1" s="1"/>
  <c r="BM283" i="1" s="1"/>
  <c r="AR279" i="1"/>
  <c r="AR275" i="1"/>
  <c r="AR278" i="1"/>
  <c r="AZ278" i="1" s="1"/>
  <c r="BM278" i="1" s="1"/>
  <c r="AQ305" i="1"/>
  <c r="AY305" i="1" s="1"/>
  <c r="BL305" i="1" s="1"/>
  <c r="AQ281" i="1"/>
  <c r="AY281" i="1" s="1"/>
  <c r="BL281" i="1" s="1"/>
  <c r="AQ277" i="1"/>
  <c r="AY277" i="1" s="1"/>
  <c r="BL277" i="1" s="1"/>
  <c r="AQ273" i="1"/>
  <c r="AY273" i="1" s="1"/>
  <c r="BL273" i="1" s="1"/>
  <c r="AR309" i="1"/>
  <c r="AZ309" i="1" s="1"/>
  <c r="BM309" i="1" s="1"/>
  <c r="AR304" i="1"/>
  <c r="AR284" i="1"/>
  <c r="AR280" i="1"/>
  <c r="AZ280" i="1" s="1"/>
  <c r="BM280" i="1" s="1"/>
  <c r="AR276" i="1"/>
  <c r="AZ276" i="1" s="1"/>
  <c r="BM276" i="1" s="1"/>
  <c r="AG225" i="1"/>
  <c r="AH225" i="1"/>
  <c r="AF272" i="1"/>
  <c r="AF286" i="1" s="1"/>
  <c r="AF263" i="1"/>
  <c r="AF264" i="1"/>
  <c r="AF266" i="1"/>
  <c r="AF267" i="1"/>
  <c r="AF268" i="1"/>
  <c r="AF270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7" i="1"/>
  <c r="AF289" i="1"/>
  <c r="AF290" i="1" s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9" i="1"/>
  <c r="AF6" i="1"/>
  <c r="AF8" i="1"/>
  <c r="AF9" i="1"/>
  <c r="AF11" i="1"/>
  <c r="AF12" i="1"/>
  <c r="AF14" i="1"/>
  <c r="AF15" i="1"/>
  <c r="AF17" i="1"/>
  <c r="AF18" i="1"/>
  <c r="AF19" i="1"/>
  <c r="AF20" i="1"/>
  <c r="AF21" i="1"/>
  <c r="AF22" i="1"/>
  <c r="AF23" i="1"/>
  <c r="AF25" i="1"/>
  <c r="AF27" i="1"/>
  <c r="AF28" i="1"/>
  <c r="AF30" i="1"/>
  <c r="AF33" i="1" s="1"/>
  <c r="AF34" i="1"/>
  <c r="AF35" i="1"/>
  <c r="AF37" i="1"/>
  <c r="AF38" i="1"/>
  <c r="AF40" i="1"/>
  <c r="AF41" i="1"/>
  <c r="AF42" i="1"/>
  <c r="AF44" i="1"/>
  <c r="AF45" i="1"/>
  <c r="AF46" i="1"/>
  <c r="AF50" i="1"/>
  <c r="AF51" i="1"/>
  <c r="AF53" i="1"/>
  <c r="AF54" i="1"/>
  <c r="AF57" i="1"/>
  <c r="AF58" i="1"/>
  <c r="AF60" i="1"/>
  <c r="AF62" i="1" s="1"/>
  <c r="AF63" i="1"/>
  <c r="AF64" i="1"/>
  <c r="AF66" i="1"/>
  <c r="AF67" i="1"/>
  <c r="AF69" i="1"/>
  <c r="AF70" i="1"/>
  <c r="AF72" i="1"/>
  <c r="AF75" i="1" s="1"/>
  <c r="AF76" i="1"/>
  <c r="AF77" i="1"/>
  <c r="AF78" i="1"/>
  <c r="AF80" i="1"/>
  <c r="AF81" i="1"/>
  <c r="AF83" i="1"/>
  <c r="AF85" i="1" s="1"/>
  <c r="AF86" i="1"/>
  <c r="AF87" i="1"/>
  <c r="AF90" i="1"/>
  <c r="AF91" i="1"/>
  <c r="AF92" i="1"/>
  <c r="AF94" i="1"/>
  <c r="AF95" i="1"/>
  <c r="AF96" i="1"/>
  <c r="AF97" i="1"/>
  <c r="AF99" i="1"/>
  <c r="AF100" i="1"/>
  <c r="AF102" i="1"/>
  <c r="AF103" i="1"/>
  <c r="AF105" i="1"/>
  <c r="AF106" i="1"/>
  <c r="AF108" i="1"/>
  <c r="AF109" i="1"/>
  <c r="AF111" i="1"/>
  <c r="AF112" i="1"/>
  <c r="AF114" i="1"/>
  <c r="AF115" i="1"/>
  <c r="AF116" i="1"/>
  <c r="AF118" i="1"/>
  <c r="AF119" i="1"/>
  <c r="AF120" i="1"/>
  <c r="AF121" i="1"/>
  <c r="AF123" i="1"/>
  <c r="AF124" i="1"/>
  <c r="AF126" i="1"/>
  <c r="AF127" i="1"/>
  <c r="AF128" i="1"/>
  <c r="AF129" i="1"/>
  <c r="AF130" i="1"/>
  <c r="AF131" i="1"/>
  <c r="AF132" i="1"/>
  <c r="AF133" i="1"/>
  <c r="AF136" i="1"/>
  <c r="AF137" i="1"/>
  <c r="AF138" i="1"/>
  <c r="AF140" i="1"/>
  <c r="AF141" i="1"/>
  <c r="AF143" i="1"/>
  <c r="AF144" i="1"/>
  <c r="AF145" i="1"/>
  <c r="AF147" i="1"/>
  <c r="AF148" i="1"/>
  <c r="AF149" i="1"/>
  <c r="AF150" i="1"/>
  <c r="AF151" i="1"/>
  <c r="AF152" i="1"/>
  <c r="AF153" i="1"/>
  <c r="AF154" i="1"/>
  <c r="AF155" i="1"/>
  <c r="AF157" i="1"/>
  <c r="AF158" i="1"/>
  <c r="AF159" i="1"/>
  <c r="AF161" i="1"/>
  <c r="AF162" i="1"/>
  <c r="AF163" i="1"/>
  <c r="AF165" i="1"/>
  <c r="AF166" i="1"/>
  <c r="AF167" i="1"/>
  <c r="AF169" i="1"/>
  <c r="AF170" i="1"/>
  <c r="AF171" i="1"/>
  <c r="AF172" i="1"/>
  <c r="AF173" i="1"/>
  <c r="AF175" i="1"/>
  <c r="AF176" i="1"/>
  <c r="AF177" i="1"/>
  <c r="AF178" i="1"/>
  <c r="AF180" i="1"/>
  <c r="AF181" i="1"/>
  <c r="AF182" i="1"/>
  <c r="AF183" i="1"/>
  <c r="AF186" i="1"/>
  <c r="AF187" i="1" s="1"/>
  <c r="AF188" i="1"/>
  <c r="AF189" i="1"/>
  <c r="AF190" i="1"/>
  <c r="AF192" i="1"/>
  <c r="AF193" i="1"/>
  <c r="AF194" i="1"/>
  <c r="AF196" i="1"/>
  <c r="AF197" i="1"/>
  <c r="AF198" i="1"/>
  <c r="AF199" i="1"/>
  <c r="AF200" i="1"/>
  <c r="AF201" i="1"/>
  <c r="AF202" i="1"/>
  <c r="AF203" i="1"/>
  <c r="AF204" i="1"/>
  <c r="AF206" i="1"/>
  <c r="AF207" i="1"/>
  <c r="AF208" i="1"/>
  <c r="AF210" i="1"/>
  <c r="AF211" i="1"/>
  <c r="AF212" i="1"/>
  <c r="AF214" i="1"/>
  <c r="AF215" i="1"/>
  <c r="AF216" i="1"/>
  <c r="AF218" i="1"/>
  <c r="AF219" i="1"/>
  <c r="AF220" i="1"/>
  <c r="AF222" i="1"/>
  <c r="AF224" i="1"/>
  <c r="AF225" i="1" s="1"/>
  <c r="AF226" i="1"/>
  <c r="AF227" i="1"/>
  <c r="AF229" i="1"/>
  <c r="AF230" i="1"/>
  <c r="AF231" i="1"/>
  <c r="AF232" i="1"/>
  <c r="AF233" i="1"/>
  <c r="AF234" i="1"/>
  <c r="AF236" i="1"/>
  <c r="AF237" i="1"/>
  <c r="AF239" i="1"/>
  <c r="AF241" i="1"/>
  <c r="AF242" i="1"/>
  <c r="AF243" i="1"/>
  <c r="AF244" i="1"/>
  <c r="AF245" i="1"/>
  <c r="AF246" i="1"/>
  <c r="AF247" i="1"/>
  <c r="AF249" i="1"/>
  <c r="AF250" i="1"/>
  <c r="AF251" i="1"/>
  <c r="AF252" i="1"/>
  <c r="AF254" i="1"/>
  <c r="AF255" i="1"/>
  <c r="AF257" i="1"/>
  <c r="AF258" i="1"/>
  <c r="AF259" i="1"/>
  <c r="AF261" i="1"/>
  <c r="AF5" i="1"/>
  <c r="BR278" i="1" l="1"/>
  <c r="BQ279" i="1"/>
  <c r="BU279" i="1" s="1"/>
  <c r="CA279" i="1" s="1"/>
  <c r="BQ277" i="1"/>
  <c r="BU277" i="1" s="1"/>
  <c r="CA277" i="1" s="1"/>
  <c r="BQ276" i="1"/>
  <c r="BU276" i="1" s="1"/>
  <c r="CA276" i="1" s="1"/>
  <c r="BQ309" i="1"/>
  <c r="BU309" i="1" s="1"/>
  <c r="CA309" i="1" s="1"/>
  <c r="BQ303" i="1"/>
  <c r="BU303" i="1" s="1"/>
  <c r="CA303" i="1" s="1"/>
  <c r="BQ282" i="1"/>
  <c r="BU282" i="1" s="1"/>
  <c r="CA282" i="1" s="1"/>
  <c r="BQ275" i="1"/>
  <c r="BU275" i="1" s="1"/>
  <c r="CA275" i="1" s="1"/>
  <c r="BR280" i="1"/>
  <c r="BR303" i="1"/>
  <c r="BV303" i="1" s="1"/>
  <c r="CB303" i="1" s="1"/>
  <c r="BQ283" i="1"/>
  <c r="BU283" i="1" s="1"/>
  <c r="CA283" i="1" s="1"/>
  <c r="BR285" i="1"/>
  <c r="BQ278" i="1"/>
  <c r="BU278" i="1" s="1"/>
  <c r="CA278" i="1" s="1"/>
  <c r="BQ285" i="1"/>
  <c r="BU285" i="1" s="1"/>
  <c r="CA285" i="1" s="1"/>
  <c r="BR276" i="1"/>
  <c r="BR309" i="1"/>
  <c r="BV309" i="1" s="1"/>
  <c r="BQ305" i="1"/>
  <c r="BU305" i="1" s="1"/>
  <c r="CA305" i="1" s="1"/>
  <c r="BR283" i="1"/>
  <c r="BQ284" i="1"/>
  <c r="BU284" i="1" s="1"/>
  <c r="CA284" i="1" s="1"/>
  <c r="BR306" i="1"/>
  <c r="BV306" i="1" s="1"/>
  <c r="CB306" i="1" s="1"/>
  <c r="BQ274" i="1"/>
  <c r="BU274" i="1" s="1"/>
  <c r="CA274" i="1" s="1"/>
  <c r="BQ306" i="1"/>
  <c r="BU306" i="1" s="1"/>
  <c r="CA306" i="1" s="1"/>
  <c r="BQ273" i="1"/>
  <c r="BU273" i="1" s="1"/>
  <c r="CA273" i="1" s="1"/>
  <c r="BQ304" i="1"/>
  <c r="BU304" i="1" s="1"/>
  <c r="CA304" i="1" s="1"/>
  <c r="BQ281" i="1"/>
  <c r="BU281" i="1" s="1"/>
  <c r="CA281" i="1" s="1"/>
  <c r="BQ280" i="1"/>
  <c r="BU280" i="1" s="1"/>
  <c r="CA280" i="1" s="1"/>
  <c r="BR274" i="1"/>
  <c r="BQ287" i="1"/>
  <c r="BU287" i="1" s="1"/>
  <c r="CA287" i="1" s="1"/>
  <c r="BL225" i="1"/>
  <c r="BQ224" i="1"/>
  <c r="AF7" i="1"/>
  <c r="AZ307" i="1"/>
  <c r="BM307" i="1" s="1"/>
  <c r="AY307" i="1"/>
  <c r="BE274" i="1"/>
  <c r="BE276" i="1"/>
  <c r="BE309" i="1"/>
  <c r="BE283" i="1"/>
  <c r="BE306" i="1"/>
  <c r="BE280" i="1"/>
  <c r="BE278" i="1"/>
  <c r="BE303" i="1"/>
  <c r="BE285" i="1"/>
  <c r="AF238" i="1"/>
  <c r="AF228" i="1"/>
  <c r="AZ304" i="1"/>
  <c r="BM304" i="1" s="1"/>
  <c r="AZ279" i="1"/>
  <c r="BM279" i="1" s="1"/>
  <c r="AZ282" i="1"/>
  <c r="BM282" i="1" s="1"/>
  <c r="AZ277" i="1"/>
  <c r="BM277" i="1" s="1"/>
  <c r="AY25" i="1"/>
  <c r="BL25" i="1" s="1"/>
  <c r="CA25" i="1" s="1"/>
  <c r="BE225" i="1"/>
  <c r="AZ284" i="1"/>
  <c r="BM284" i="1" s="1"/>
  <c r="AZ275" i="1"/>
  <c r="BM275" i="1" s="1"/>
  <c r="AZ273" i="1"/>
  <c r="BM273" i="1" s="1"/>
  <c r="AZ305" i="1"/>
  <c r="BM305" i="1" s="1"/>
  <c r="AF56" i="1"/>
  <c r="AZ287" i="1"/>
  <c r="BM287" i="1" s="1"/>
  <c r="CB287" i="1" s="1"/>
  <c r="AZ281" i="1"/>
  <c r="BM281" i="1" s="1"/>
  <c r="AF29" i="1"/>
  <c r="AF179" i="1"/>
  <c r="AF164" i="1"/>
  <c r="AF139" i="1"/>
  <c r="AF113" i="1"/>
  <c r="AF107" i="1"/>
  <c r="AF101" i="1"/>
  <c r="AF71" i="1"/>
  <c r="AF65" i="1"/>
  <c r="AF260" i="1"/>
  <c r="AF39" i="1"/>
  <c r="AF205" i="1"/>
  <c r="AF217" i="1"/>
  <c r="AF125" i="1"/>
  <c r="AF16" i="1"/>
  <c r="AF256" i="1"/>
  <c r="AF98" i="1"/>
  <c r="AF68" i="1"/>
  <c r="AF104" i="1"/>
  <c r="AF59" i="1"/>
  <c r="AF213" i="1"/>
  <c r="AF134" i="1"/>
  <c r="AF10" i="1"/>
  <c r="AF269" i="1"/>
  <c r="AF271" i="1" s="1"/>
  <c r="AF82" i="1"/>
  <c r="AF265" i="1"/>
  <c r="AF146" i="1"/>
  <c r="AF235" i="1"/>
  <c r="AF142" i="1"/>
  <c r="AF110" i="1"/>
  <c r="AF93" i="1"/>
  <c r="AF253" i="1"/>
  <c r="AF160" i="1"/>
  <c r="AF79" i="1"/>
  <c r="AF52" i="1"/>
  <c r="AF43" i="1"/>
  <c r="AF36" i="1"/>
  <c r="AF308" i="1"/>
  <c r="AF248" i="1"/>
  <c r="AF221" i="1"/>
  <c r="AF209" i="1"/>
  <c r="AF195" i="1"/>
  <c r="AF191" i="1"/>
  <c r="AF184" i="1"/>
  <c r="AF174" i="1"/>
  <c r="AF168" i="1"/>
  <c r="AF156" i="1"/>
  <c r="AF122" i="1"/>
  <c r="AF117" i="1"/>
  <c r="AF49" i="1"/>
  <c r="AF24" i="1"/>
  <c r="AF26" i="1" s="1"/>
  <c r="AF13" i="1"/>
  <c r="AF288" i="1"/>
  <c r="AD225" i="1"/>
  <c r="AE225" i="1"/>
  <c r="W114" i="1"/>
  <c r="Y114" i="1" s="1"/>
  <c r="AE114" i="1" s="1"/>
  <c r="CB309" i="1" l="1"/>
  <c r="BV274" i="1"/>
  <c r="CB274" i="1" s="1"/>
  <c r="BV276" i="1"/>
  <c r="CB276" i="1" s="1"/>
  <c r="BV285" i="1"/>
  <c r="CB285" i="1" s="1"/>
  <c r="BV280" i="1"/>
  <c r="CB280" i="1" s="1"/>
  <c r="BV278" i="1"/>
  <c r="CB278" i="1" s="1"/>
  <c r="BV283" i="1"/>
  <c r="CB283" i="1" s="1"/>
  <c r="BR275" i="1"/>
  <c r="BR307" i="1"/>
  <c r="BV307" i="1" s="1"/>
  <c r="CB307" i="1" s="1"/>
  <c r="BR284" i="1"/>
  <c r="BR282" i="1"/>
  <c r="BR277" i="1"/>
  <c r="BR281" i="1"/>
  <c r="BR273" i="1"/>
  <c r="BQ25" i="1"/>
  <c r="BR304" i="1"/>
  <c r="BV304" i="1" s="1"/>
  <c r="CB304" i="1" s="1"/>
  <c r="BR287" i="1"/>
  <c r="BR305" i="1"/>
  <c r="BV305" i="1" s="1"/>
  <c r="CB305" i="1" s="1"/>
  <c r="BR279" i="1"/>
  <c r="BQ225" i="1"/>
  <c r="BU224" i="1"/>
  <c r="CA224" i="1" s="1"/>
  <c r="BL307" i="1"/>
  <c r="BE307" i="1"/>
  <c r="BE304" i="1"/>
  <c r="BE281" i="1"/>
  <c r="BE305" i="1"/>
  <c r="BE277" i="1"/>
  <c r="BE279" i="1"/>
  <c r="BE284" i="1"/>
  <c r="BE287" i="1"/>
  <c r="BE273" i="1"/>
  <c r="BE275" i="1"/>
  <c r="BE282" i="1"/>
  <c r="AF240" i="1"/>
  <c r="AF262" i="1"/>
  <c r="BD25" i="1"/>
  <c r="AC225" i="1"/>
  <c r="AN114" i="1"/>
  <c r="AH114" i="1"/>
  <c r="AJ114" i="1"/>
  <c r="AF135" i="1"/>
  <c r="AF89" i="1"/>
  <c r="AF223" i="1"/>
  <c r="AF185" i="1"/>
  <c r="X224" i="1"/>
  <c r="X225" i="1" s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303" i="1"/>
  <c r="X304" i="1"/>
  <c r="X305" i="1"/>
  <c r="X306" i="1"/>
  <c r="X307" i="1"/>
  <c r="X309" i="1"/>
  <c r="W272" i="1"/>
  <c r="W302" i="1"/>
  <c r="Y302" i="1" s="1"/>
  <c r="AE302" i="1" s="1"/>
  <c r="V302" i="1"/>
  <c r="W301" i="1"/>
  <c r="Y301" i="1" s="1"/>
  <c r="AE301" i="1" s="1"/>
  <c r="V301" i="1"/>
  <c r="W300" i="1"/>
  <c r="Y300" i="1" s="1"/>
  <c r="AE300" i="1" s="1"/>
  <c r="V300" i="1"/>
  <c r="W299" i="1"/>
  <c r="Y299" i="1" s="1"/>
  <c r="AE299" i="1" s="1"/>
  <c r="V299" i="1"/>
  <c r="W298" i="1"/>
  <c r="Y298" i="1" s="1"/>
  <c r="AE298" i="1" s="1"/>
  <c r="V298" i="1"/>
  <c r="W297" i="1"/>
  <c r="Y297" i="1" s="1"/>
  <c r="AE297" i="1" s="1"/>
  <c r="V297" i="1"/>
  <c r="W296" i="1"/>
  <c r="Y296" i="1" s="1"/>
  <c r="AE296" i="1" s="1"/>
  <c r="V296" i="1"/>
  <c r="W295" i="1"/>
  <c r="Y295" i="1" s="1"/>
  <c r="AE295" i="1" s="1"/>
  <c r="V295" i="1"/>
  <c r="W294" i="1"/>
  <c r="Y294" i="1" s="1"/>
  <c r="AE294" i="1" s="1"/>
  <c r="V294" i="1"/>
  <c r="W293" i="1"/>
  <c r="Y293" i="1" s="1"/>
  <c r="AE293" i="1" s="1"/>
  <c r="V293" i="1"/>
  <c r="W292" i="1"/>
  <c r="Y292" i="1" s="1"/>
  <c r="AE292" i="1" s="1"/>
  <c r="V292" i="1"/>
  <c r="W291" i="1"/>
  <c r="Y291" i="1" s="1"/>
  <c r="AE291" i="1" s="1"/>
  <c r="V291" i="1"/>
  <c r="W289" i="1"/>
  <c r="V289" i="1"/>
  <c r="V290" i="1" s="1"/>
  <c r="W287" i="1"/>
  <c r="Y287" i="1" s="1"/>
  <c r="V287" i="1"/>
  <c r="V288" i="1" s="1"/>
  <c r="W268" i="1"/>
  <c r="Y268" i="1" s="1"/>
  <c r="AE268" i="1" s="1"/>
  <c r="V268" i="1"/>
  <c r="W267" i="1"/>
  <c r="V267" i="1"/>
  <c r="W266" i="1"/>
  <c r="V266" i="1"/>
  <c r="W264" i="1"/>
  <c r="Y264" i="1" s="1"/>
  <c r="AE264" i="1" s="1"/>
  <c r="V264" i="1"/>
  <c r="W263" i="1"/>
  <c r="V263" i="1"/>
  <c r="W261" i="1"/>
  <c r="V261" i="1"/>
  <c r="V258" i="1"/>
  <c r="W258" i="1"/>
  <c r="Y258" i="1" s="1"/>
  <c r="AE258" i="1" s="1"/>
  <c r="V259" i="1"/>
  <c r="W259" i="1"/>
  <c r="Y259" i="1" s="1"/>
  <c r="AE259" i="1" s="1"/>
  <c r="W257" i="1"/>
  <c r="V257" i="1"/>
  <c r="V255" i="1"/>
  <c r="W255" i="1"/>
  <c r="W254" i="1"/>
  <c r="V254" i="1"/>
  <c r="V250" i="1"/>
  <c r="W250" i="1"/>
  <c r="Y250" i="1" s="1"/>
  <c r="AE250" i="1" s="1"/>
  <c r="V251" i="1"/>
  <c r="W251" i="1"/>
  <c r="Y251" i="1" s="1"/>
  <c r="AE251" i="1" s="1"/>
  <c r="V252" i="1"/>
  <c r="W252" i="1"/>
  <c r="Y252" i="1" s="1"/>
  <c r="AE252" i="1" s="1"/>
  <c r="W249" i="1"/>
  <c r="V249" i="1"/>
  <c r="V242" i="1"/>
  <c r="W242" i="1"/>
  <c r="Y242" i="1" s="1"/>
  <c r="AE242" i="1" s="1"/>
  <c r="V243" i="1"/>
  <c r="W243" i="1"/>
  <c r="Y243" i="1" s="1"/>
  <c r="AE243" i="1" s="1"/>
  <c r="V244" i="1"/>
  <c r="W244" i="1"/>
  <c r="Y244" i="1" s="1"/>
  <c r="AE244" i="1" s="1"/>
  <c r="V245" i="1"/>
  <c r="W245" i="1"/>
  <c r="Y245" i="1" s="1"/>
  <c r="AE245" i="1" s="1"/>
  <c r="V246" i="1"/>
  <c r="W246" i="1"/>
  <c r="Y246" i="1" s="1"/>
  <c r="AE246" i="1" s="1"/>
  <c r="V247" i="1"/>
  <c r="W247" i="1"/>
  <c r="Y247" i="1" s="1"/>
  <c r="AE247" i="1" s="1"/>
  <c r="W241" i="1"/>
  <c r="V241" i="1"/>
  <c r="W239" i="1"/>
  <c r="V239" i="1"/>
  <c r="W237" i="1"/>
  <c r="Y237" i="1" s="1"/>
  <c r="AE237" i="1" s="1"/>
  <c r="V237" i="1"/>
  <c r="W236" i="1"/>
  <c r="V236" i="1"/>
  <c r="W234" i="1"/>
  <c r="Y234" i="1" s="1"/>
  <c r="AE234" i="1" s="1"/>
  <c r="V234" i="1"/>
  <c r="W233" i="1"/>
  <c r="V233" i="1"/>
  <c r="W232" i="1"/>
  <c r="Y232" i="1" s="1"/>
  <c r="AE232" i="1" s="1"/>
  <c r="V232" i="1"/>
  <c r="W231" i="1"/>
  <c r="Y231" i="1" s="1"/>
  <c r="AE231" i="1" s="1"/>
  <c r="V231" i="1"/>
  <c r="W230" i="1"/>
  <c r="Y230" i="1" s="1"/>
  <c r="AE230" i="1" s="1"/>
  <c r="V230" i="1"/>
  <c r="W229" i="1"/>
  <c r="Y229" i="1" s="1"/>
  <c r="AE229" i="1" s="1"/>
  <c r="V229" i="1"/>
  <c r="V227" i="1"/>
  <c r="W227" i="1"/>
  <c r="W226" i="1"/>
  <c r="V226" i="1"/>
  <c r="W222" i="1"/>
  <c r="V222" i="1"/>
  <c r="V219" i="1"/>
  <c r="W219" i="1"/>
  <c r="Y219" i="1" s="1"/>
  <c r="AE219" i="1" s="1"/>
  <c r="V220" i="1"/>
  <c r="W220" i="1"/>
  <c r="Y220" i="1" s="1"/>
  <c r="AE220" i="1" s="1"/>
  <c r="W218" i="1"/>
  <c r="V218" i="1"/>
  <c r="W216" i="1"/>
  <c r="Y216" i="1" s="1"/>
  <c r="AE216" i="1" s="1"/>
  <c r="V216" i="1"/>
  <c r="W215" i="1"/>
  <c r="V215" i="1"/>
  <c r="W214" i="1"/>
  <c r="Y214" i="1" s="1"/>
  <c r="AE214" i="1" s="1"/>
  <c r="V214" i="1"/>
  <c r="V211" i="1"/>
  <c r="W211" i="1"/>
  <c r="Y211" i="1" s="1"/>
  <c r="AE211" i="1" s="1"/>
  <c r="V212" i="1"/>
  <c r="W212" i="1"/>
  <c r="Y212" i="1" s="1"/>
  <c r="AE212" i="1" s="1"/>
  <c r="W210" i="1"/>
  <c r="V210" i="1"/>
  <c r="V208" i="1"/>
  <c r="W208" i="1"/>
  <c r="Y208" i="1" s="1"/>
  <c r="AE208" i="1" s="1"/>
  <c r="W207" i="1"/>
  <c r="V207" i="1"/>
  <c r="W206" i="1"/>
  <c r="Y206" i="1" s="1"/>
  <c r="AE206" i="1" s="1"/>
  <c r="V206" i="1"/>
  <c r="V200" i="1"/>
  <c r="W200" i="1"/>
  <c r="Y200" i="1" s="1"/>
  <c r="AE200" i="1" s="1"/>
  <c r="V201" i="1"/>
  <c r="W201" i="1"/>
  <c r="Y201" i="1" s="1"/>
  <c r="AE201" i="1" s="1"/>
  <c r="V202" i="1"/>
  <c r="W202" i="1"/>
  <c r="Y202" i="1" s="1"/>
  <c r="AE202" i="1" s="1"/>
  <c r="V203" i="1"/>
  <c r="W203" i="1"/>
  <c r="Y203" i="1" s="1"/>
  <c r="AE203" i="1" s="1"/>
  <c r="V204" i="1"/>
  <c r="W204" i="1"/>
  <c r="Y204" i="1" s="1"/>
  <c r="AE204" i="1" s="1"/>
  <c r="W199" i="1"/>
  <c r="V199" i="1"/>
  <c r="W198" i="1"/>
  <c r="Y198" i="1" s="1"/>
  <c r="AE198" i="1" s="1"/>
  <c r="V198" i="1"/>
  <c r="W197" i="1"/>
  <c r="Y197" i="1" s="1"/>
  <c r="AE197" i="1" s="1"/>
  <c r="V197" i="1"/>
  <c r="W196" i="1"/>
  <c r="Y196" i="1" s="1"/>
  <c r="AE196" i="1" s="1"/>
  <c r="V196" i="1"/>
  <c r="V194" i="1"/>
  <c r="W194" i="1"/>
  <c r="Y194" i="1" s="1"/>
  <c r="AE194" i="1" s="1"/>
  <c r="W193" i="1"/>
  <c r="V193" i="1"/>
  <c r="W192" i="1"/>
  <c r="Y192" i="1" s="1"/>
  <c r="AE192" i="1" s="1"/>
  <c r="V192" i="1"/>
  <c r="V190" i="1"/>
  <c r="W190" i="1"/>
  <c r="Y190" i="1" s="1"/>
  <c r="AE190" i="1" s="1"/>
  <c r="W189" i="1"/>
  <c r="Y189" i="1" s="1"/>
  <c r="AE189" i="1" s="1"/>
  <c r="V189" i="1"/>
  <c r="W188" i="1"/>
  <c r="V188" i="1"/>
  <c r="W186" i="1"/>
  <c r="W187" i="1" s="1"/>
  <c r="V186" i="1"/>
  <c r="V187" i="1" s="1"/>
  <c r="V182" i="1"/>
  <c r="W182" i="1"/>
  <c r="Y182" i="1" s="1"/>
  <c r="AE182" i="1" s="1"/>
  <c r="V183" i="1"/>
  <c r="W183" i="1"/>
  <c r="Y183" i="1" s="1"/>
  <c r="AE183" i="1" s="1"/>
  <c r="W181" i="1"/>
  <c r="V181" i="1"/>
  <c r="W180" i="1"/>
  <c r="Y180" i="1" s="1"/>
  <c r="AE180" i="1" s="1"/>
  <c r="V180" i="1"/>
  <c r="V178" i="1"/>
  <c r="W178" i="1"/>
  <c r="Y178" i="1" s="1"/>
  <c r="AE178" i="1" s="1"/>
  <c r="W177" i="1"/>
  <c r="V177" i="1"/>
  <c r="W176" i="1"/>
  <c r="Y176" i="1" s="1"/>
  <c r="AE176" i="1" s="1"/>
  <c r="V176" i="1"/>
  <c r="W175" i="1"/>
  <c r="Y175" i="1" s="1"/>
  <c r="AE175" i="1" s="1"/>
  <c r="V175" i="1"/>
  <c r="V172" i="1"/>
  <c r="W172" i="1"/>
  <c r="Y172" i="1" s="1"/>
  <c r="AE172" i="1" s="1"/>
  <c r="V173" i="1"/>
  <c r="W173" i="1"/>
  <c r="Y173" i="1" s="1"/>
  <c r="AE173" i="1" s="1"/>
  <c r="W171" i="1"/>
  <c r="V171" i="1"/>
  <c r="W170" i="1"/>
  <c r="Y170" i="1" s="1"/>
  <c r="AE170" i="1" s="1"/>
  <c r="V170" i="1"/>
  <c r="W169" i="1"/>
  <c r="Y169" i="1" s="1"/>
  <c r="AE169" i="1" s="1"/>
  <c r="V169" i="1"/>
  <c r="V167" i="1"/>
  <c r="W167" i="1"/>
  <c r="Y167" i="1" s="1"/>
  <c r="AE167" i="1" s="1"/>
  <c r="W166" i="1"/>
  <c r="V166" i="1"/>
  <c r="W165" i="1"/>
  <c r="Y165" i="1" s="1"/>
  <c r="AE165" i="1" s="1"/>
  <c r="V165" i="1"/>
  <c r="V163" i="1"/>
  <c r="W163" i="1"/>
  <c r="Y163" i="1" s="1"/>
  <c r="AE163" i="1" s="1"/>
  <c r="W162" i="1"/>
  <c r="V162" i="1"/>
  <c r="W161" i="1"/>
  <c r="Y161" i="1" s="1"/>
  <c r="AE161" i="1" s="1"/>
  <c r="V161" i="1"/>
  <c r="W159" i="1"/>
  <c r="V159" i="1"/>
  <c r="W158" i="1"/>
  <c r="Y158" i="1" s="1"/>
  <c r="AE158" i="1" s="1"/>
  <c r="V158" i="1"/>
  <c r="V150" i="1"/>
  <c r="W150" i="1"/>
  <c r="Y150" i="1" s="1"/>
  <c r="AE150" i="1" s="1"/>
  <c r="V151" i="1"/>
  <c r="W151" i="1"/>
  <c r="Y151" i="1" s="1"/>
  <c r="AE151" i="1" s="1"/>
  <c r="V152" i="1"/>
  <c r="W152" i="1"/>
  <c r="Y152" i="1" s="1"/>
  <c r="AE152" i="1" s="1"/>
  <c r="V153" i="1"/>
  <c r="W153" i="1"/>
  <c r="Y153" i="1" s="1"/>
  <c r="AE153" i="1" s="1"/>
  <c r="V154" i="1"/>
  <c r="W154" i="1"/>
  <c r="Y154" i="1" s="1"/>
  <c r="AE154" i="1" s="1"/>
  <c r="V155" i="1"/>
  <c r="W155" i="1"/>
  <c r="Y155" i="1" s="1"/>
  <c r="AE155" i="1" s="1"/>
  <c r="W149" i="1"/>
  <c r="Y149" i="1" s="1"/>
  <c r="AE149" i="1" s="1"/>
  <c r="V149" i="1"/>
  <c r="W148" i="1"/>
  <c r="Y148" i="1" s="1"/>
  <c r="AE148" i="1" s="1"/>
  <c r="V148" i="1"/>
  <c r="W147" i="1"/>
  <c r="V147" i="1"/>
  <c r="V145" i="1"/>
  <c r="W145" i="1"/>
  <c r="Y145" i="1" s="1"/>
  <c r="AE145" i="1" s="1"/>
  <c r="W144" i="1"/>
  <c r="Y144" i="1" s="1"/>
  <c r="AE144" i="1" s="1"/>
  <c r="V144" i="1"/>
  <c r="W143" i="1"/>
  <c r="V143" i="1"/>
  <c r="W141" i="1"/>
  <c r="Y141" i="1" s="1"/>
  <c r="AE141" i="1" s="1"/>
  <c r="V141" i="1"/>
  <c r="W140" i="1"/>
  <c r="V140" i="1"/>
  <c r="V138" i="1"/>
  <c r="W138" i="1"/>
  <c r="Y138" i="1" s="1"/>
  <c r="AE138" i="1" s="1"/>
  <c r="W137" i="1"/>
  <c r="V137" i="1"/>
  <c r="W136" i="1"/>
  <c r="Y136" i="1" s="1"/>
  <c r="AE136" i="1" s="1"/>
  <c r="V136" i="1"/>
  <c r="V133" i="1"/>
  <c r="W133" i="1"/>
  <c r="Y133" i="1" s="1"/>
  <c r="AE133" i="1" s="1"/>
  <c r="W132" i="1"/>
  <c r="V132" i="1"/>
  <c r="W131" i="1"/>
  <c r="Y131" i="1" s="1"/>
  <c r="AE131" i="1" s="1"/>
  <c r="V131" i="1"/>
  <c r="W130" i="1"/>
  <c r="Y130" i="1" s="1"/>
  <c r="AE130" i="1" s="1"/>
  <c r="V130" i="1"/>
  <c r="W129" i="1"/>
  <c r="Y129" i="1" s="1"/>
  <c r="AE129" i="1" s="1"/>
  <c r="V129" i="1"/>
  <c r="W128" i="1"/>
  <c r="Y128" i="1" s="1"/>
  <c r="AE128" i="1" s="1"/>
  <c r="V128" i="1"/>
  <c r="W127" i="1"/>
  <c r="Y127" i="1" s="1"/>
  <c r="AE127" i="1" s="1"/>
  <c r="V127" i="1"/>
  <c r="W126" i="1"/>
  <c r="Y126" i="1" s="1"/>
  <c r="AE126" i="1" s="1"/>
  <c r="V126" i="1"/>
  <c r="V124" i="1"/>
  <c r="W124" i="1"/>
  <c r="Y124" i="1" s="1"/>
  <c r="AE124" i="1" s="1"/>
  <c r="W123" i="1"/>
  <c r="V123" i="1"/>
  <c r="V121" i="1"/>
  <c r="W121" i="1"/>
  <c r="Y121" i="1" s="1"/>
  <c r="AE121" i="1" s="1"/>
  <c r="W120" i="1"/>
  <c r="V120" i="1"/>
  <c r="W119" i="1"/>
  <c r="Y119" i="1" s="1"/>
  <c r="AE119" i="1" s="1"/>
  <c r="V119" i="1"/>
  <c r="W118" i="1"/>
  <c r="Y118" i="1" s="1"/>
  <c r="AE118" i="1" s="1"/>
  <c r="V118" i="1"/>
  <c r="V116" i="1"/>
  <c r="W116" i="1"/>
  <c r="Y116" i="1" s="1"/>
  <c r="AE116" i="1" s="1"/>
  <c r="W115" i="1"/>
  <c r="V115" i="1"/>
  <c r="V114" i="1"/>
  <c r="W112" i="1"/>
  <c r="Y112" i="1" s="1"/>
  <c r="AE112" i="1" s="1"/>
  <c r="V112" i="1"/>
  <c r="W111" i="1"/>
  <c r="V111" i="1"/>
  <c r="W109" i="1"/>
  <c r="Y109" i="1" s="1"/>
  <c r="AE109" i="1" s="1"/>
  <c r="V109" i="1"/>
  <c r="W108" i="1"/>
  <c r="V108" i="1"/>
  <c r="W106" i="1"/>
  <c r="Y106" i="1" s="1"/>
  <c r="AE106" i="1" s="1"/>
  <c r="V106" i="1"/>
  <c r="W105" i="1"/>
  <c r="V105" i="1"/>
  <c r="W103" i="1"/>
  <c r="Y103" i="1" s="1"/>
  <c r="AE103" i="1" s="1"/>
  <c r="V103" i="1"/>
  <c r="W102" i="1"/>
  <c r="V102" i="1"/>
  <c r="W100" i="1"/>
  <c r="Y100" i="1" s="1"/>
  <c r="AE100" i="1" s="1"/>
  <c r="V100" i="1"/>
  <c r="W99" i="1"/>
  <c r="V99" i="1"/>
  <c r="V97" i="1"/>
  <c r="W97" i="1"/>
  <c r="Y97" i="1" s="1"/>
  <c r="AE97" i="1" s="1"/>
  <c r="W96" i="1"/>
  <c r="V96" i="1"/>
  <c r="W95" i="1"/>
  <c r="Y95" i="1" s="1"/>
  <c r="AE95" i="1" s="1"/>
  <c r="V95" i="1"/>
  <c r="W94" i="1"/>
  <c r="Y94" i="1" s="1"/>
  <c r="AE94" i="1" s="1"/>
  <c r="V94" i="1"/>
  <c r="V92" i="1"/>
  <c r="X92" i="1" s="1"/>
  <c r="AD92" i="1" s="1"/>
  <c r="W92" i="1"/>
  <c r="Y92" i="1" s="1"/>
  <c r="AE92" i="1" s="1"/>
  <c r="W91" i="1"/>
  <c r="V91" i="1"/>
  <c r="W90" i="1"/>
  <c r="Y90" i="1" s="1"/>
  <c r="AE90" i="1" s="1"/>
  <c r="V90" i="1"/>
  <c r="W88" i="1"/>
  <c r="V88" i="1"/>
  <c r="W87" i="1"/>
  <c r="Y87" i="1" s="1"/>
  <c r="AE87" i="1" s="1"/>
  <c r="V87" i="1"/>
  <c r="W86" i="1"/>
  <c r="Y86" i="1" s="1"/>
  <c r="AE86" i="1" s="1"/>
  <c r="V86" i="1"/>
  <c r="V84" i="1"/>
  <c r="W84" i="1"/>
  <c r="Y84" i="1" s="1"/>
  <c r="W83" i="1"/>
  <c r="V83" i="1"/>
  <c r="V81" i="1"/>
  <c r="W81" i="1"/>
  <c r="Y81" i="1" s="1"/>
  <c r="AE81" i="1" s="1"/>
  <c r="W80" i="1"/>
  <c r="V80" i="1"/>
  <c r="V77" i="1"/>
  <c r="W77" i="1"/>
  <c r="Y77" i="1" s="1"/>
  <c r="AE77" i="1" s="1"/>
  <c r="V78" i="1"/>
  <c r="W78" i="1"/>
  <c r="Y78" i="1" s="1"/>
  <c r="AE78" i="1" s="1"/>
  <c r="W76" i="1"/>
  <c r="V76" i="1"/>
  <c r="V74" i="1"/>
  <c r="W74" i="1"/>
  <c r="Y74" i="1" s="1"/>
  <c r="W73" i="1"/>
  <c r="Y73" i="1" s="1"/>
  <c r="V73" i="1"/>
  <c r="W72" i="1"/>
  <c r="V72" i="1"/>
  <c r="W70" i="1"/>
  <c r="Y70" i="1" s="1"/>
  <c r="AE70" i="1" s="1"/>
  <c r="V70" i="1"/>
  <c r="W69" i="1"/>
  <c r="V69" i="1"/>
  <c r="W67" i="1"/>
  <c r="Y67" i="1" s="1"/>
  <c r="AE67" i="1" s="1"/>
  <c r="V67" i="1"/>
  <c r="W66" i="1"/>
  <c r="V66" i="1"/>
  <c r="V64" i="1"/>
  <c r="W64" i="1"/>
  <c r="Y64" i="1" s="1"/>
  <c r="AE64" i="1" s="1"/>
  <c r="W63" i="1"/>
  <c r="V63" i="1"/>
  <c r="V61" i="1"/>
  <c r="W61" i="1"/>
  <c r="Y61" i="1" s="1"/>
  <c r="W60" i="1"/>
  <c r="V60" i="1"/>
  <c r="V58" i="1"/>
  <c r="W58" i="1"/>
  <c r="Y58" i="1" s="1"/>
  <c r="AE58" i="1" s="1"/>
  <c r="W57" i="1"/>
  <c r="V57" i="1"/>
  <c r="V54" i="1"/>
  <c r="W54" i="1"/>
  <c r="Y54" i="1" s="1"/>
  <c r="AE54" i="1" s="1"/>
  <c r="W53" i="1"/>
  <c r="V53" i="1"/>
  <c r="V51" i="1"/>
  <c r="W51" i="1"/>
  <c r="Y51" i="1" s="1"/>
  <c r="AE51" i="1" s="1"/>
  <c r="W50" i="1"/>
  <c r="V50" i="1"/>
  <c r="W48" i="1"/>
  <c r="Y48" i="1" s="1"/>
  <c r="V48" i="1"/>
  <c r="W47" i="1"/>
  <c r="V47" i="1"/>
  <c r="W46" i="1"/>
  <c r="V46" i="1"/>
  <c r="V45" i="1"/>
  <c r="W45" i="1"/>
  <c r="Y45" i="1" s="1"/>
  <c r="AE45" i="1" s="1"/>
  <c r="W44" i="1"/>
  <c r="Y44" i="1" s="1"/>
  <c r="AE44" i="1" s="1"/>
  <c r="V44" i="1"/>
  <c r="V42" i="1"/>
  <c r="W42" i="1"/>
  <c r="Y42" i="1" s="1"/>
  <c r="AE42" i="1" s="1"/>
  <c r="W41" i="1"/>
  <c r="Y41" i="1" s="1"/>
  <c r="AE41" i="1" s="1"/>
  <c r="V41" i="1"/>
  <c r="W40" i="1"/>
  <c r="V40" i="1"/>
  <c r="W38" i="1"/>
  <c r="Y38" i="1" s="1"/>
  <c r="AE38" i="1" s="1"/>
  <c r="V38" i="1"/>
  <c r="W37" i="1"/>
  <c r="V37" i="1"/>
  <c r="V35" i="1"/>
  <c r="W35" i="1"/>
  <c r="Y35" i="1" s="1"/>
  <c r="AE35" i="1" s="1"/>
  <c r="W34" i="1"/>
  <c r="V34" i="1"/>
  <c r="V31" i="1"/>
  <c r="W31" i="1"/>
  <c r="Y31" i="1" s="1"/>
  <c r="V32" i="1"/>
  <c r="W32" i="1"/>
  <c r="Y32" i="1" s="1"/>
  <c r="W30" i="1"/>
  <c r="V30" i="1"/>
  <c r="V28" i="1"/>
  <c r="W28" i="1"/>
  <c r="Y28" i="1" s="1"/>
  <c r="AE28" i="1" s="1"/>
  <c r="W27" i="1"/>
  <c r="V27" i="1"/>
  <c r="W25" i="1"/>
  <c r="Y25" i="1" s="1"/>
  <c r="AE25" i="1" s="1"/>
  <c r="V25" i="1"/>
  <c r="V19" i="1"/>
  <c r="W19" i="1"/>
  <c r="Y19" i="1" s="1"/>
  <c r="AE19" i="1" s="1"/>
  <c r="V20" i="1"/>
  <c r="W20" i="1"/>
  <c r="Y20" i="1" s="1"/>
  <c r="AE20" i="1" s="1"/>
  <c r="V21" i="1"/>
  <c r="W21" i="1"/>
  <c r="Y21" i="1" s="1"/>
  <c r="AE21" i="1" s="1"/>
  <c r="V22" i="1"/>
  <c r="W22" i="1"/>
  <c r="Y22" i="1" s="1"/>
  <c r="AE22" i="1" s="1"/>
  <c r="V23" i="1"/>
  <c r="W23" i="1"/>
  <c r="Y23" i="1" s="1"/>
  <c r="AE23" i="1" s="1"/>
  <c r="W18" i="1"/>
  <c r="Y18" i="1" s="1"/>
  <c r="AE18" i="1" s="1"/>
  <c r="V18" i="1"/>
  <c r="W17" i="1"/>
  <c r="V17" i="1"/>
  <c r="W15" i="1"/>
  <c r="Y15" i="1" s="1"/>
  <c r="AE15" i="1" s="1"/>
  <c r="V15" i="1"/>
  <c r="W14" i="1"/>
  <c r="V14" i="1"/>
  <c r="W12" i="1"/>
  <c r="Y12" i="1" s="1"/>
  <c r="AE12" i="1" s="1"/>
  <c r="V12" i="1"/>
  <c r="W11" i="1"/>
  <c r="V11" i="1"/>
  <c r="W9" i="1"/>
  <c r="Y9" i="1" s="1"/>
  <c r="AE9" i="1" s="1"/>
  <c r="V9" i="1"/>
  <c r="W8" i="1"/>
  <c r="V8" i="1"/>
  <c r="W6" i="1"/>
  <c r="Y6" i="1" s="1"/>
  <c r="AE6" i="1" s="1"/>
  <c r="W5" i="1"/>
  <c r="V6" i="1"/>
  <c r="V5" i="1"/>
  <c r="W309" i="1"/>
  <c r="Y309" i="1" s="1"/>
  <c r="W307" i="1"/>
  <c r="W306" i="1"/>
  <c r="Y306" i="1" s="1"/>
  <c r="W305" i="1"/>
  <c r="Y305" i="1" s="1"/>
  <c r="W304" i="1"/>
  <c r="Y304" i="1" s="1"/>
  <c r="W303" i="1"/>
  <c r="Y303" i="1" s="1"/>
  <c r="W285" i="1"/>
  <c r="W284" i="1"/>
  <c r="Y284" i="1" s="1"/>
  <c r="W283" i="1"/>
  <c r="Y283" i="1" s="1"/>
  <c r="W282" i="1"/>
  <c r="Y282" i="1" s="1"/>
  <c r="W281" i="1"/>
  <c r="Y281" i="1" s="1"/>
  <c r="W280" i="1"/>
  <c r="Y280" i="1" s="1"/>
  <c r="W279" i="1"/>
  <c r="Y279" i="1" s="1"/>
  <c r="W278" i="1"/>
  <c r="Y278" i="1" s="1"/>
  <c r="W277" i="1"/>
  <c r="Y277" i="1" s="1"/>
  <c r="W276" i="1"/>
  <c r="Y276" i="1" s="1"/>
  <c r="W275" i="1"/>
  <c r="Y275" i="1" s="1"/>
  <c r="W274" i="1"/>
  <c r="Y274" i="1" s="1"/>
  <c r="W273" i="1"/>
  <c r="Y273" i="1" s="1"/>
  <c r="W270" i="1"/>
  <c r="Y270" i="1" s="1"/>
  <c r="W224" i="1"/>
  <c r="W225" i="1" s="1"/>
  <c r="CA225" i="1" l="1"/>
  <c r="BV279" i="1"/>
  <c r="CB279" i="1" s="1"/>
  <c r="BV282" i="1"/>
  <c r="CB282" i="1" s="1"/>
  <c r="BV277" i="1"/>
  <c r="CB277" i="1" s="1"/>
  <c r="BV275" i="1"/>
  <c r="CB275" i="1" s="1"/>
  <c r="BV281" i="1"/>
  <c r="CB281" i="1" s="1"/>
  <c r="BV273" i="1"/>
  <c r="CB273" i="1" s="1"/>
  <c r="BV284" i="1"/>
  <c r="CB284" i="1" s="1"/>
  <c r="BU225" i="1"/>
  <c r="BQ307" i="1"/>
  <c r="BU307" i="1" s="1"/>
  <c r="CA307" i="1" s="1"/>
  <c r="W82" i="1"/>
  <c r="V164" i="1"/>
  <c r="V179" i="1"/>
  <c r="W56" i="1"/>
  <c r="V39" i="1"/>
  <c r="V56" i="1"/>
  <c r="V68" i="1"/>
  <c r="V71" i="1"/>
  <c r="AV22" i="1"/>
  <c r="AV20" i="1"/>
  <c r="AV28" i="1"/>
  <c r="AV42" i="1"/>
  <c r="AN45" i="1"/>
  <c r="AV77" i="1"/>
  <c r="AV81" i="1"/>
  <c r="AV129" i="1"/>
  <c r="AV148" i="1"/>
  <c r="AV158" i="1"/>
  <c r="AV161" i="1"/>
  <c r="AV169" i="1"/>
  <c r="AV196" i="1"/>
  <c r="AV198" i="1"/>
  <c r="AV229" i="1"/>
  <c r="AV231" i="1"/>
  <c r="AV268" i="1"/>
  <c r="AV292" i="1"/>
  <c r="AV294" i="1"/>
  <c r="AV296" i="1"/>
  <c r="AV298" i="1"/>
  <c r="AV300" i="1"/>
  <c r="AV302" i="1"/>
  <c r="V101" i="1"/>
  <c r="W217" i="1"/>
  <c r="AV38" i="1"/>
  <c r="AV41" i="1"/>
  <c r="AN44" i="1"/>
  <c r="AV44" i="1"/>
  <c r="AV67" i="1"/>
  <c r="AV70" i="1"/>
  <c r="AV87" i="1"/>
  <c r="AV90" i="1"/>
  <c r="AU92" i="1"/>
  <c r="AV95" i="1"/>
  <c r="AV100" i="1"/>
  <c r="AV103" i="1"/>
  <c r="AV106" i="1"/>
  <c r="AV109" i="1"/>
  <c r="AV112" i="1"/>
  <c r="AV116" i="1"/>
  <c r="AV117" i="1" s="1"/>
  <c r="AV121" i="1"/>
  <c r="AV124" i="1"/>
  <c r="AV133" i="1"/>
  <c r="AV145" i="1"/>
  <c r="AV155" i="1"/>
  <c r="AV153" i="1"/>
  <c r="AV151" i="1"/>
  <c r="AV163" i="1"/>
  <c r="AV172" i="1"/>
  <c r="AV178" i="1"/>
  <c r="AV182" i="1"/>
  <c r="AV190" i="1"/>
  <c r="AV204" i="1"/>
  <c r="AV202" i="1"/>
  <c r="AV200" i="1"/>
  <c r="AV211" i="1"/>
  <c r="AV219" i="1"/>
  <c r="AV247" i="1"/>
  <c r="AV245" i="1"/>
  <c r="AV243" i="1"/>
  <c r="AV251" i="1"/>
  <c r="AV258" i="1"/>
  <c r="AV23" i="1"/>
  <c r="AV21" i="1"/>
  <c r="AV19" i="1"/>
  <c r="AV35" i="1"/>
  <c r="AV51" i="1"/>
  <c r="AV54" i="1"/>
  <c r="AV58" i="1"/>
  <c r="AV64" i="1"/>
  <c r="AV78" i="1"/>
  <c r="AV92" i="1"/>
  <c r="AV97" i="1"/>
  <c r="AV128" i="1"/>
  <c r="AV130" i="1"/>
  <c r="AV136" i="1"/>
  <c r="AV141" i="1"/>
  <c r="AV144" i="1"/>
  <c r="AV149" i="1"/>
  <c r="AV165" i="1"/>
  <c r="AV170" i="1"/>
  <c r="AV189" i="1"/>
  <c r="AV192" i="1"/>
  <c r="AV197" i="1"/>
  <c r="AV206" i="1"/>
  <c r="AV214" i="1"/>
  <c r="AV216" i="1"/>
  <c r="AV230" i="1"/>
  <c r="AV232" i="1"/>
  <c r="AV234" i="1"/>
  <c r="AV237" i="1"/>
  <c r="AV264" i="1"/>
  <c r="AV291" i="1"/>
  <c r="AV293" i="1"/>
  <c r="AV295" i="1"/>
  <c r="AV297" i="1"/>
  <c r="AV299" i="1"/>
  <c r="AV301" i="1"/>
  <c r="AV6" i="1"/>
  <c r="AV9" i="1"/>
  <c r="AV12" i="1"/>
  <c r="AV15" i="1"/>
  <c r="AV18" i="1"/>
  <c r="AV25" i="1"/>
  <c r="AV86" i="1"/>
  <c r="AV94" i="1"/>
  <c r="AV138" i="1"/>
  <c r="AV154" i="1"/>
  <c r="AV152" i="1"/>
  <c r="AV150" i="1"/>
  <c r="AV167" i="1"/>
  <c r="AV173" i="1"/>
  <c r="AV183" i="1"/>
  <c r="AV194" i="1"/>
  <c r="AV203" i="1"/>
  <c r="AV201" i="1"/>
  <c r="AV208" i="1"/>
  <c r="AV209" i="1" s="1"/>
  <c r="AV212" i="1"/>
  <c r="AV220" i="1"/>
  <c r="AV246" i="1"/>
  <c r="AV244" i="1"/>
  <c r="AV242" i="1"/>
  <c r="AV252" i="1"/>
  <c r="AV250" i="1"/>
  <c r="AV259" i="1"/>
  <c r="V205" i="1"/>
  <c r="V248" i="1"/>
  <c r="AN165" i="1"/>
  <c r="AN232" i="1"/>
  <c r="AN301" i="1"/>
  <c r="W36" i="1"/>
  <c r="W52" i="1"/>
  <c r="W59" i="1"/>
  <c r="W62" i="1"/>
  <c r="W65" i="1"/>
  <c r="W79" i="1"/>
  <c r="W93" i="1"/>
  <c r="AN161" i="1"/>
  <c r="AN231" i="1"/>
  <c r="V104" i="1"/>
  <c r="V107" i="1"/>
  <c r="V110" i="1"/>
  <c r="V113" i="1"/>
  <c r="W142" i="1"/>
  <c r="V139" i="1"/>
  <c r="V168" i="1"/>
  <c r="V174" i="1"/>
  <c r="V184" i="1"/>
  <c r="V195" i="1"/>
  <c r="V209" i="1"/>
  <c r="V213" i="1"/>
  <c r="V221" i="1"/>
  <c r="V228" i="1"/>
  <c r="V253" i="1"/>
  <c r="V256" i="1"/>
  <c r="W98" i="1"/>
  <c r="V134" i="1"/>
  <c r="V260" i="1"/>
  <c r="W39" i="1"/>
  <c r="W43" i="1"/>
  <c r="W68" i="1"/>
  <c r="W71" i="1"/>
  <c r="W75" i="1"/>
  <c r="W101" i="1"/>
  <c r="W104" i="1"/>
  <c r="W107" i="1"/>
  <c r="W110" i="1"/>
  <c r="W113" i="1"/>
  <c r="V156" i="1"/>
  <c r="V160" i="1"/>
  <c r="AJ119" i="1"/>
  <c r="AN119" i="1"/>
  <c r="AH119" i="1"/>
  <c r="AR114" i="1"/>
  <c r="V265" i="1"/>
  <c r="V117" i="1"/>
  <c r="V122" i="1"/>
  <c r="V125" i="1"/>
  <c r="AN259" i="1"/>
  <c r="V269" i="1"/>
  <c r="V271" i="1" s="1"/>
  <c r="AN9" i="1"/>
  <c r="AN15" i="1"/>
  <c r="AN86" i="1"/>
  <c r="AN94" i="1"/>
  <c r="AN138" i="1"/>
  <c r="AN154" i="1"/>
  <c r="AN152" i="1"/>
  <c r="AN150" i="1"/>
  <c r="AN167" i="1"/>
  <c r="AN173" i="1"/>
  <c r="AN183" i="1"/>
  <c r="AN194" i="1"/>
  <c r="AN203" i="1"/>
  <c r="AN201" i="1"/>
  <c r="AN208" i="1"/>
  <c r="AN212" i="1"/>
  <c r="AN220" i="1"/>
  <c r="AN246" i="1"/>
  <c r="AN244" i="1"/>
  <c r="AN242" i="1"/>
  <c r="AN252" i="1"/>
  <c r="AN250" i="1"/>
  <c r="Y307" i="1"/>
  <c r="Y308" i="1" s="1"/>
  <c r="W308" i="1"/>
  <c r="Y5" i="1"/>
  <c r="Y7" i="1" s="1"/>
  <c r="W7" i="1"/>
  <c r="AN22" i="1"/>
  <c r="AN20" i="1"/>
  <c r="AN28" i="1"/>
  <c r="AN42" i="1"/>
  <c r="AN77" i="1"/>
  <c r="AN81" i="1"/>
  <c r="AN127" i="1"/>
  <c r="AJ127" i="1"/>
  <c r="AH127" i="1"/>
  <c r="AN129" i="1"/>
  <c r="AN131" i="1"/>
  <c r="Y137" i="1"/>
  <c r="Y139" i="1" s="1"/>
  <c r="W139" i="1"/>
  <c r="AN148" i="1"/>
  <c r="AN158" i="1"/>
  <c r="AN169" i="1"/>
  <c r="AN176" i="1"/>
  <c r="Y188" i="1"/>
  <c r="Y191" i="1" s="1"/>
  <c r="W191" i="1"/>
  <c r="AN196" i="1"/>
  <c r="AN198" i="1"/>
  <c r="Y226" i="1"/>
  <c r="AE226" i="1" s="1"/>
  <c r="W228" i="1"/>
  <c r="AN229" i="1"/>
  <c r="Y233" i="1"/>
  <c r="Y235" i="1" s="1"/>
  <c r="W235" i="1"/>
  <c r="Y236" i="1"/>
  <c r="Y238" i="1" s="1"/>
  <c r="W238" i="1"/>
  <c r="Y239" i="1"/>
  <c r="AE239" i="1" s="1"/>
  <c r="Y249" i="1"/>
  <c r="W253" i="1"/>
  <c r="Y254" i="1"/>
  <c r="W256" i="1"/>
  <c r="Y257" i="1"/>
  <c r="Y260" i="1" s="1"/>
  <c r="W260" i="1"/>
  <c r="Y263" i="1"/>
  <c r="Y265" i="1" s="1"/>
  <c r="W265" i="1"/>
  <c r="Y266" i="1"/>
  <c r="AE266" i="1" s="1"/>
  <c r="AN268" i="1"/>
  <c r="Y289" i="1"/>
  <c r="Y290" i="1" s="1"/>
  <c r="W290" i="1"/>
  <c r="AN292" i="1"/>
  <c r="AR292" i="1" s="1"/>
  <c r="AN294" i="1"/>
  <c r="AN296" i="1"/>
  <c r="AN298" i="1"/>
  <c r="AN300" i="1"/>
  <c r="V36" i="1"/>
  <c r="V43" i="1"/>
  <c r="V52" i="1"/>
  <c r="V59" i="1"/>
  <c r="V62" i="1"/>
  <c r="V65" i="1"/>
  <c r="V75" i="1"/>
  <c r="V79" i="1"/>
  <c r="V93" i="1"/>
  <c r="V98" i="1"/>
  <c r="W146" i="1"/>
  <c r="W168" i="1"/>
  <c r="W174" i="1"/>
  <c r="W184" i="1"/>
  <c r="W195" i="1"/>
  <c r="W209" i="1"/>
  <c r="W213" i="1"/>
  <c r="W221" i="1"/>
  <c r="AN258" i="1"/>
  <c r="V308" i="1"/>
  <c r="AN6" i="1"/>
  <c r="AH6" i="1"/>
  <c r="AN12" i="1"/>
  <c r="AN18" i="1"/>
  <c r="AN25" i="1"/>
  <c r="Y11" i="1"/>
  <c r="Y13" i="1" s="1"/>
  <c r="W13" i="1"/>
  <c r="Y14" i="1"/>
  <c r="Y16" i="1" s="1"/>
  <c r="W16" i="1"/>
  <c r="Y17" i="1"/>
  <c r="Y24" i="1" s="1"/>
  <c r="Y26" i="1" s="1"/>
  <c r="W24" i="1"/>
  <c r="W26" i="1" s="1"/>
  <c r="Y27" i="1"/>
  <c r="Y29" i="1" s="1"/>
  <c r="W29" i="1"/>
  <c r="Y30" i="1"/>
  <c r="Y33" i="1" s="1"/>
  <c r="W33" i="1"/>
  <c r="AN38" i="1"/>
  <c r="AN41" i="1"/>
  <c r="Y46" i="1"/>
  <c r="AE46" i="1" s="1"/>
  <c r="W49" i="1"/>
  <c r="AN67" i="1"/>
  <c r="AN70" i="1"/>
  <c r="Y83" i="1"/>
  <c r="Y85" i="1" s="1"/>
  <c r="W85" i="1"/>
  <c r="AN87" i="1"/>
  <c r="AN90" i="1"/>
  <c r="AI92" i="1"/>
  <c r="AM92" i="1"/>
  <c r="AG92" i="1"/>
  <c r="AC92" i="1"/>
  <c r="AJ95" i="1"/>
  <c r="AN95" i="1"/>
  <c r="AH95" i="1"/>
  <c r="AN100" i="1"/>
  <c r="AN103" i="1"/>
  <c r="AN106" i="1"/>
  <c r="AN109" i="1"/>
  <c r="AN112" i="1"/>
  <c r="AN116" i="1"/>
  <c r="AN121" i="1"/>
  <c r="AN124" i="1"/>
  <c r="AN133" i="1"/>
  <c r="AN145" i="1"/>
  <c r="AN155" i="1"/>
  <c r="AN153" i="1"/>
  <c r="AN151" i="1"/>
  <c r="AN163" i="1"/>
  <c r="AN172" i="1"/>
  <c r="AN178" i="1"/>
  <c r="AN182" i="1"/>
  <c r="AN190" i="1"/>
  <c r="AN204" i="1"/>
  <c r="AN202" i="1"/>
  <c r="AN200" i="1"/>
  <c r="AN211" i="1"/>
  <c r="AN219" i="1"/>
  <c r="AN247" i="1"/>
  <c r="AN245" i="1"/>
  <c r="AN243" i="1"/>
  <c r="AN251" i="1"/>
  <c r="AN23" i="1"/>
  <c r="AN21" i="1"/>
  <c r="AN19" i="1"/>
  <c r="AN35" i="1"/>
  <c r="AN51" i="1"/>
  <c r="AN54" i="1"/>
  <c r="AN58" i="1"/>
  <c r="AN64" i="1"/>
  <c r="AN78" i="1"/>
  <c r="AN92" i="1"/>
  <c r="AN97" i="1"/>
  <c r="AN118" i="1"/>
  <c r="AN126" i="1"/>
  <c r="AN128" i="1"/>
  <c r="AN130" i="1"/>
  <c r="AN136" i="1"/>
  <c r="AN141" i="1"/>
  <c r="AN144" i="1"/>
  <c r="Y147" i="1"/>
  <c r="Y156" i="1" s="1"/>
  <c r="W156" i="1"/>
  <c r="AN149" i="1"/>
  <c r="Y159" i="1"/>
  <c r="Y160" i="1" s="1"/>
  <c r="W160" i="1"/>
  <c r="AN170" i="1"/>
  <c r="AN175" i="1"/>
  <c r="AN180" i="1"/>
  <c r="AN189" i="1"/>
  <c r="AN192" i="1"/>
  <c r="AN197" i="1"/>
  <c r="Y199" i="1"/>
  <c r="W205" i="1"/>
  <c r="AN206" i="1"/>
  <c r="AN214" i="1"/>
  <c r="AN216" i="1"/>
  <c r="Y222" i="1"/>
  <c r="AE222" i="1" s="1"/>
  <c r="AN230" i="1"/>
  <c r="AN234" i="1"/>
  <c r="AN237" i="1"/>
  <c r="AN264" i="1"/>
  <c r="AN291" i="1"/>
  <c r="AN293" i="1"/>
  <c r="AN295" i="1"/>
  <c r="AN297" i="1"/>
  <c r="AN299" i="1"/>
  <c r="W10" i="1"/>
  <c r="V142" i="1"/>
  <c r="V146" i="1"/>
  <c r="V191" i="1"/>
  <c r="V217" i="1"/>
  <c r="V235" i="1"/>
  <c r="V238" i="1"/>
  <c r="V7" i="1"/>
  <c r="V10" i="1"/>
  <c r="V13" i="1"/>
  <c r="V16" i="1"/>
  <c r="V24" i="1"/>
  <c r="V26" i="1" s="1"/>
  <c r="V29" i="1"/>
  <c r="V33" i="1"/>
  <c r="V49" i="1"/>
  <c r="V82" i="1"/>
  <c r="V85" i="1"/>
  <c r="W117" i="1"/>
  <c r="W122" i="1"/>
  <c r="W125" i="1"/>
  <c r="W134" i="1"/>
  <c r="W164" i="1"/>
  <c r="W179" i="1"/>
  <c r="W248" i="1"/>
  <c r="W262" i="1" s="1"/>
  <c r="W269" i="1"/>
  <c r="W271" i="1" s="1"/>
  <c r="Y285" i="1"/>
  <c r="W286" i="1"/>
  <c r="W288" i="1" s="1"/>
  <c r="AF310" i="1"/>
  <c r="AH21" i="1"/>
  <c r="AJ21" i="1"/>
  <c r="AH106" i="1"/>
  <c r="AJ106" i="1"/>
  <c r="AH20" i="1"/>
  <c r="AJ20" i="1"/>
  <c r="AH45" i="1"/>
  <c r="AJ45" i="1"/>
  <c r="AH131" i="1"/>
  <c r="AJ131" i="1"/>
  <c r="AH148" i="1"/>
  <c r="AJ148" i="1"/>
  <c r="AH170" i="1"/>
  <c r="AJ170" i="1"/>
  <c r="AH216" i="1"/>
  <c r="AJ216" i="1"/>
  <c r="AH234" i="1"/>
  <c r="AJ234" i="1"/>
  <c r="AH293" i="1"/>
  <c r="AJ293" i="1"/>
  <c r="AH299" i="1"/>
  <c r="AH247" i="1"/>
  <c r="AJ247" i="1"/>
  <c r="AJ6" i="1"/>
  <c r="AH15" i="1"/>
  <c r="AJ15" i="1"/>
  <c r="AH150" i="1"/>
  <c r="AJ150" i="1"/>
  <c r="AH163" i="1"/>
  <c r="AJ163" i="1"/>
  <c r="AH178" i="1"/>
  <c r="AJ178" i="1"/>
  <c r="AH202" i="1"/>
  <c r="AJ202" i="1"/>
  <c r="AH245" i="1"/>
  <c r="AJ245" i="1"/>
  <c r="AH251" i="1"/>
  <c r="AJ251" i="1"/>
  <c r="AH258" i="1"/>
  <c r="AJ258" i="1"/>
  <c r="AH138" i="1"/>
  <c r="AJ138" i="1"/>
  <c r="AH204" i="1"/>
  <c r="AJ204" i="1"/>
  <c r="AH35" i="1"/>
  <c r="AJ35" i="1"/>
  <c r="AH169" i="1"/>
  <c r="AJ169" i="1"/>
  <c r="AH67" i="1"/>
  <c r="AJ67" i="1"/>
  <c r="AH151" i="1"/>
  <c r="AJ151" i="1"/>
  <c r="AH54" i="1"/>
  <c r="AJ54" i="1"/>
  <c r="AH78" i="1"/>
  <c r="AJ78" i="1"/>
  <c r="AH92" i="1"/>
  <c r="AJ92" i="1"/>
  <c r="AH118" i="1"/>
  <c r="AJ118" i="1"/>
  <c r="AH126" i="1"/>
  <c r="AJ126" i="1"/>
  <c r="AH141" i="1"/>
  <c r="AJ141" i="1"/>
  <c r="AH149" i="1"/>
  <c r="AJ149" i="1"/>
  <c r="AH196" i="1"/>
  <c r="AJ196" i="1"/>
  <c r="AH229" i="1"/>
  <c r="AJ229" i="1"/>
  <c r="AH268" i="1"/>
  <c r="AJ268" i="1"/>
  <c r="AH294" i="1"/>
  <c r="AJ294" i="1"/>
  <c r="AH300" i="1"/>
  <c r="AJ300" i="1"/>
  <c r="AH44" i="1"/>
  <c r="AJ44" i="1"/>
  <c r="AH116" i="1"/>
  <c r="AJ116" i="1"/>
  <c r="AH259" i="1"/>
  <c r="AJ259" i="1"/>
  <c r="AH19" i="1"/>
  <c r="AJ19" i="1"/>
  <c r="AH38" i="1"/>
  <c r="AJ38" i="1"/>
  <c r="AH70" i="1"/>
  <c r="AJ70" i="1"/>
  <c r="AH100" i="1"/>
  <c r="AJ100" i="1"/>
  <c r="AH109" i="1"/>
  <c r="AJ109" i="1"/>
  <c r="AH133" i="1"/>
  <c r="AJ133" i="1"/>
  <c r="AH155" i="1"/>
  <c r="AJ155" i="1"/>
  <c r="AH173" i="1"/>
  <c r="AJ173" i="1"/>
  <c r="AH201" i="1"/>
  <c r="AJ201" i="1"/>
  <c r="AH212" i="1"/>
  <c r="AJ212" i="1"/>
  <c r="AH220" i="1"/>
  <c r="AJ220" i="1"/>
  <c r="AH244" i="1"/>
  <c r="AJ244" i="1"/>
  <c r="AH250" i="1"/>
  <c r="AJ250" i="1"/>
  <c r="AH51" i="1"/>
  <c r="AJ51" i="1"/>
  <c r="AH246" i="1"/>
  <c r="AJ246" i="1"/>
  <c r="AH77" i="1"/>
  <c r="AJ77" i="1"/>
  <c r="AH165" i="1"/>
  <c r="AJ165" i="1"/>
  <c r="AH189" i="1"/>
  <c r="AJ189" i="1"/>
  <c r="AH197" i="1"/>
  <c r="AJ197" i="1"/>
  <c r="AH230" i="1"/>
  <c r="AJ230" i="1"/>
  <c r="AH237" i="1"/>
  <c r="AJ237" i="1"/>
  <c r="AH295" i="1"/>
  <c r="AJ295" i="1"/>
  <c r="AH301" i="1"/>
  <c r="AH182" i="1"/>
  <c r="AJ182" i="1"/>
  <c r="AH130" i="1"/>
  <c r="AJ130" i="1"/>
  <c r="AH203" i="1"/>
  <c r="AJ203" i="1"/>
  <c r="AH9" i="1"/>
  <c r="AJ9" i="1"/>
  <c r="AH18" i="1"/>
  <c r="AJ18" i="1"/>
  <c r="AH25" i="1"/>
  <c r="AJ25" i="1"/>
  <c r="AH86" i="1"/>
  <c r="AJ86" i="1"/>
  <c r="AH94" i="1"/>
  <c r="AJ94" i="1"/>
  <c r="AH154" i="1"/>
  <c r="AJ154" i="1"/>
  <c r="AH172" i="1"/>
  <c r="AJ172" i="1"/>
  <c r="AH190" i="1"/>
  <c r="AJ190" i="1"/>
  <c r="AH200" i="1"/>
  <c r="AJ200" i="1"/>
  <c r="AH211" i="1"/>
  <c r="AJ211" i="1"/>
  <c r="AH219" i="1"/>
  <c r="AJ219" i="1"/>
  <c r="AH243" i="1"/>
  <c r="AJ243" i="1"/>
  <c r="AH12" i="1"/>
  <c r="AJ12" i="1"/>
  <c r="AH161" i="1"/>
  <c r="AJ161" i="1"/>
  <c r="AH298" i="1"/>
  <c r="AH208" i="1"/>
  <c r="AJ208" i="1"/>
  <c r="AH23" i="1"/>
  <c r="AJ23" i="1"/>
  <c r="AH58" i="1"/>
  <c r="AJ58" i="1"/>
  <c r="AH64" i="1"/>
  <c r="AJ64" i="1"/>
  <c r="AH128" i="1"/>
  <c r="AJ128" i="1"/>
  <c r="AH136" i="1"/>
  <c r="AJ136" i="1"/>
  <c r="AH144" i="1"/>
  <c r="AJ144" i="1"/>
  <c r="AH158" i="1"/>
  <c r="AJ158" i="1"/>
  <c r="AH231" i="1"/>
  <c r="AJ231" i="1"/>
  <c r="AH296" i="1"/>
  <c r="AJ296" i="1"/>
  <c r="AH302" i="1"/>
  <c r="AH90" i="1"/>
  <c r="AJ90" i="1"/>
  <c r="AH41" i="1"/>
  <c r="AJ41" i="1"/>
  <c r="AH87" i="1"/>
  <c r="AJ87" i="1"/>
  <c r="AH103" i="1"/>
  <c r="AJ103" i="1"/>
  <c r="AH112" i="1"/>
  <c r="AJ112" i="1"/>
  <c r="AH121" i="1"/>
  <c r="AJ121" i="1"/>
  <c r="AH145" i="1"/>
  <c r="AJ145" i="1"/>
  <c r="AH153" i="1"/>
  <c r="AJ153" i="1"/>
  <c r="AH167" i="1"/>
  <c r="AJ167" i="1"/>
  <c r="AH183" i="1"/>
  <c r="AJ183" i="1"/>
  <c r="AH242" i="1"/>
  <c r="AJ242" i="1"/>
  <c r="AH152" i="1"/>
  <c r="AJ152" i="1"/>
  <c r="AH97" i="1"/>
  <c r="AJ97" i="1"/>
  <c r="AH176" i="1"/>
  <c r="AJ176" i="1"/>
  <c r="AH124" i="1"/>
  <c r="AJ124" i="1"/>
  <c r="AH194" i="1"/>
  <c r="AJ194" i="1"/>
  <c r="AH252" i="1"/>
  <c r="AJ252" i="1"/>
  <c r="AH22" i="1"/>
  <c r="AJ22" i="1"/>
  <c r="AH28" i="1"/>
  <c r="AJ28" i="1"/>
  <c r="AH42" i="1"/>
  <c r="AJ42" i="1"/>
  <c r="AH81" i="1"/>
  <c r="AJ81" i="1"/>
  <c r="AH129" i="1"/>
  <c r="AJ129" i="1"/>
  <c r="AH175" i="1"/>
  <c r="AJ175" i="1"/>
  <c r="AH192" i="1"/>
  <c r="AJ192" i="1"/>
  <c r="AH206" i="1"/>
  <c r="AJ206" i="1"/>
  <c r="AH214" i="1"/>
  <c r="AJ214" i="1"/>
  <c r="AH232" i="1"/>
  <c r="AJ232" i="1"/>
  <c r="AH291" i="1"/>
  <c r="AJ291" i="1"/>
  <c r="AH297" i="1"/>
  <c r="AJ297" i="1"/>
  <c r="Y80" i="1"/>
  <c r="Y272" i="1"/>
  <c r="Y8" i="1"/>
  <c r="Y10" i="1" s="1"/>
  <c r="AE188" i="1"/>
  <c r="AE308" i="1"/>
  <c r="Y186" i="1"/>
  <c r="Y162" i="1"/>
  <c r="Y164" i="1" s="1"/>
  <c r="Y143" i="1"/>
  <c r="Y146" i="1" s="1"/>
  <c r="Y177" i="1"/>
  <c r="Y179" i="1" s="1"/>
  <c r="Y140" i="1"/>
  <c r="Y142" i="1" s="1"/>
  <c r="Y267" i="1"/>
  <c r="Y269" i="1" s="1"/>
  <c r="Y261" i="1"/>
  <c r="Y255" i="1"/>
  <c r="AE255" i="1" s="1"/>
  <c r="Y241" i="1"/>
  <c r="Y248" i="1" s="1"/>
  <c r="Y227" i="1"/>
  <c r="AE227" i="1" s="1"/>
  <c r="Y224" i="1"/>
  <c r="Y225" i="1" s="1"/>
  <c r="Y218" i="1"/>
  <c r="Y221" i="1" s="1"/>
  <c r="Y215" i="1"/>
  <c r="Y217" i="1" s="1"/>
  <c r="Y210" i="1"/>
  <c r="Y213" i="1" s="1"/>
  <c r="Y207" i="1"/>
  <c r="Y209" i="1" s="1"/>
  <c r="Y193" i="1"/>
  <c r="Y195" i="1" s="1"/>
  <c r="Y181" i="1"/>
  <c r="Y184" i="1" s="1"/>
  <c r="Y171" i="1"/>
  <c r="Y174" i="1" s="1"/>
  <c r="Y166" i="1"/>
  <c r="Y132" i="1"/>
  <c r="Y134" i="1" s="1"/>
  <c r="Y123" i="1"/>
  <c r="Y125" i="1" s="1"/>
  <c r="Y120" i="1"/>
  <c r="Y122" i="1" s="1"/>
  <c r="Y115" i="1"/>
  <c r="Y117" i="1" s="1"/>
  <c r="Y111" i="1"/>
  <c r="Y113" i="1" s="1"/>
  <c r="Y108" i="1"/>
  <c r="Y110" i="1" s="1"/>
  <c r="Y105" i="1"/>
  <c r="Y107" i="1" s="1"/>
  <c r="Y102" i="1"/>
  <c r="Y104" i="1" s="1"/>
  <c r="Y99" i="1"/>
  <c r="Y101" i="1" s="1"/>
  <c r="Y96" i="1"/>
  <c r="Y98" i="1" s="1"/>
  <c r="Y91" i="1"/>
  <c r="Y93" i="1" s="1"/>
  <c r="Y88" i="1"/>
  <c r="Y76" i="1"/>
  <c r="Y79" i="1" s="1"/>
  <c r="Y72" i="1"/>
  <c r="Y75" i="1" s="1"/>
  <c r="Y69" i="1"/>
  <c r="Y71" i="1" s="1"/>
  <c r="Y66" i="1"/>
  <c r="Y68" i="1" s="1"/>
  <c r="Y63" i="1"/>
  <c r="Y65" i="1" s="1"/>
  <c r="Y60" i="1"/>
  <c r="Y62" i="1" s="1"/>
  <c r="Y57" i="1"/>
  <c r="Y53" i="1"/>
  <c r="Y56" i="1" s="1"/>
  <c r="Y50" i="1"/>
  <c r="Y52" i="1" s="1"/>
  <c r="Y47" i="1"/>
  <c r="Y40" i="1"/>
  <c r="Y43" i="1" s="1"/>
  <c r="Y37" i="1"/>
  <c r="Y39" i="1" s="1"/>
  <c r="Y34" i="1"/>
  <c r="Y36" i="1" s="1"/>
  <c r="AE270" i="1"/>
  <c r="AZ292" i="1" l="1"/>
  <c r="BM292" i="1" s="1"/>
  <c r="CB292" i="1" s="1"/>
  <c r="AR302" i="1"/>
  <c r="AH308" i="1"/>
  <c r="AN308" i="1"/>
  <c r="AV308" i="1"/>
  <c r="AJ308" i="1"/>
  <c r="AE236" i="1"/>
  <c r="AV236" i="1" s="1"/>
  <c r="AV238" i="1" s="1"/>
  <c r="AE257" i="1"/>
  <c r="AN257" i="1" s="1"/>
  <c r="AE14" i="1"/>
  <c r="AV14" i="1" s="1"/>
  <c r="AV16" i="1" s="1"/>
  <c r="AE27" i="1"/>
  <c r="AV27" i="1" s="1"/>
  <c r="AV29" i="1" s="1"/>
  <c r="AE289" i="1"/>
  <c r="AV289" i="1" s="1"/>
  <c r="AV290" i="1" s="1"/>
  <c r="AR161" i="1"/>
  <c r="AZ161" i="1" s="1"/>
  <c r="BM161" i="1" s="1"/>
  <c r="CB161" i="1" s="1"/>
  <c r="BE292" i="1"/>
  <c r="AZ302" i="1"/>
  <c r="BM302" i="1" s="1"/>
  <c r="CB302" i="1" s="1"/>
  <c r="AZ114" i="1"/>
  <c r="BM114" i="1" s="1"/>
  <c r="CB114" i="1" s="1"/>
  <c r="AR231" i="1"/>
  <c r="AZ231" i="1" s="1"/>
  <c r="BM231" i="1" s="1"/>
  <c r="CB231" i="1" s="1"/>
  <c r="AV227" i="1"/>
  <c r="AE29" i="1"/>
  <c r="AV266" i="1"/>
  <c r="AV188" i="1"/>
  <c r="AV191" i="1" s="1"/>
  <c r="AV270" i="1"/>
  <c r="AV226" i="1"/>
  <c r="AV205" i="1"/>
  <c r="AV255" i="1"/>
  <c r="AV46" i="1"/>
  <c r="AV49" i="1" s="1"/>
  <c r="AV222" i="1"/>
  <c r="AV239" i="1"/>
  <c r="V262" i="1"/>
  <c r="V185" i="1"/>
  <c r="V223" i="1"/>
  <c r="V240" i="1"/>
  <c r="W240" i="1"/>
  <c r="AR216" i="1"/>
  <c r="Y205" i="1"/>
  <c r="AE199" i="1"/>
  <c r="AE205" i="1" s="1"/>
  <c r="AQ92" i="1"/>
  <c r="AR297" i="1"/>
  <c r="AR291" i="1"/>
  <c r="AZ291" i="1" s="1"/>
  <c r="BM291" i="1" s="1"/>
  <c r="CB291" i="1" s="1"/>
  <c r="AR234" i="1"/>
  <c r="AZ234" i="1" s="1"/>
  <c r="BM234" i="1" s="1"/>
  <c r="AR136" i="1"/>
  <c r="AR126" i="1"/>
  <c r="AZ126" i="1" s="1"/>
  <c r="BM126" i="1" s="1"/>
  <c r="CB126" i="1" s="1"/>
  <c r="AR92" i="1"/>
  <c r="AZ92" i="1" s="1"/>
  <c r="BM92" i="1" s="1"/>
  <c r="AR51" i="1"/>
  <c r="AZ51" i="1" s="1"/>
  <c r="BM51" i="1" s="1"/>
  <c r="AR19" i="1"/>
  <c r="AR247" i="1"/>
  <c r="AR200" i="1"/>
  <c r="AZ200" i="1" s="1"/>
  <c r="BM200" i="1" s="1"/>
  <c r="CB200" i="1" s="1"/>
  <c r="AR190" i="1"/>
  <c r="AZ190" i="1" s="1"/>
  <c r="BM190" i="1" s="1"/>
  <c r="CB190" i="1" s="1"/>
  <c r="AR163" i="1"/>
  <c r="AZ163" i="1" s="1"/>
  <c r="BM163" i="1" s="1"/>
  <c r="CB163" i="1" s="1"/>
  <c r="AR155" i="1"/>
  <c r="AR124" i="1"/>
  <c r="AZ124" i="1" s="1"/>
  <c r="BM124" i="1" s="1"/>
  <c r="AR106" i="1"/>
  <c r="AZ106" i="1" s="1"/>
  <c r="BM106" i="1" s="1"/>
  <c r="AR95" i="1"/>
  <c r="W89" i="1"/>
  <c r="AR67" i="1"/>
  <c r="AZ67" i="1" s="1"/>
  <c r="BM67" i="1" s="1"/>
  <c r="AR41" i="1"/>
  <c r="AR258" i="1"/>
  <c r="AZ258" i="1" s="1"/>
  <c r="BM258" i="1" s="1"/>
  <c r="CB258" i="1" s="1"/>
  <c r="V135" i="1"/>
  <c r="AR300" i="1"/>
  <c r="AZ300" i="1" s="1"/>
  <c r="BM300" i="1" s="1"/>
  <c r="AR294" i="1"/>
  <c r="AR158" i="1"/>
  <c r="AZ158" i="1" s="1"/>
  <c r="BM158" i="1" s="1"/>
  <c r="CB158" i="1" s="1"/>
  <c r="AR131" i="1"/>
  <c r="AZ131" i="1" s="1"/>
  <c r="BM131" i="1" s="1"/>
  <c r="CB131" i="1" s="1"/>
  <c r="AR77" i="1"/>
  <c r="AZ77" i="1" s="1"/>
  <c r="BM77" i="1" s="1"/>
  <c r="AR42" i="1"/>
  <c r="AZ42" i="1" s="1"/>
  <c r="BM42" i="1" s="1"/>
  <c r="AR20" i="1"/>
  <c r="AR244" i="1"/>
  <c r="AR212" i="1"/>
  <c r="AZ212" i="1" s="1"/>
  <c r="BM212" i="1" s="1"/>
  <c r="CB212" i="1" s="1"/>
  <c r="AR194" i="1"/>
  <c r="AZ194" i="1" s="1"/>
  <c r="BM194" i="1" s="1"/>
  <c r="AR150" i="1"/>
  <c r="AR94" i="1"/>
  <c r="AR70" i="1"/>
  <c r="AZ70" i="1" s="1"/>
  <c r="BM70" i="1" s="1"/>
  <c r="AR299" i="1"/>
  <c r="AZ299" i="1" s="1"/>
  <c r="BM299" i="1" s="1"/>
  <c r="CB299" i="1" s="1"/>
  <c r="AR293" i="1"/>
  <c r="AZ293" i="1" s="1"/>
  <c r="BM293" i="1" s="1"/>
  <c r="CB293" i="1" s="1"/>
  <c r="AR237" i="1"/>
  <c r="AR189" i="1"/>
  <c r="AZ189" i="1" s="1"/>
  <c r="BM189" i="1" s="1"/>
  <c r="CB189" i="1" s="1"/>
  <c r="AR170" i="1"/>
  <c r="AZ170" i="1" s="1"/>
  <c r="BM170" i="1" s="1"/>
  <c r="CB170" i="1" s="1"/>
  <c r="AR128" i="1"/>
  <c r="AR78" i="1"/>
  <c r="AZ78" i="1" s="1"/>
  <c r="BM78" i="1" s="1"/>
  <c r="AR54" i="1"/>
  <c r="AZ54" i="1" s="1"/>
  <c r="BM54" i="1" s="1"/>
  <c r="AR23" i="1"/>
  <c r="AZ23" i="1" s="1"/>
  <c r="BM23" i="1" s="1"/>
  <c r="AR245" i="1"/>
  <c r="AZ245" i="1" s="1"/>
  <c r="BM245" i="1" s="1"/>
  <c r="CB245" i="1" s="1"/>
  <c r="AR211" i="1"/>
  <c r="AR204" i="1"/>
  <c r="AZ204" i="1" s="1"/>
  <c r="BM204" i="1" s="1"/>
  <c r="CB204" i="1" s="1"/>
  <c r="AR172" i="1"/>
  <c r="AZ172" i="1" s="1"/>
  <c r="BM172" i="1" s="1"/>
  <c r="CB172" i="1" s="1"/>
  <c r="AR153" i="1"/>
  <c r="AZ153" i="1" s="1"/>
  <c r="BM153" i="1" s="1"/>
  <c r="AR133" i="1"/>
  <c r="AZ133" i="1" s="1"/>
  <c r="BM133" i="1" s="1"/>
  <c r="AR116" i="1"/>
  <c r="AZ116" i="1" s="1"/>
  <c r="BM116" i="1" s="1"/>
  <c r="AR87" i="1"/>
  <c r="AR12" i="1"/>
  <c r="AR296" i="1"/>
  <c r="AR169" i="1"/>
  <c r="AZ169" i="1" s="1"/>
  <c r="BM169" i="1" s="1"/>
  <c r="CB169" i="1" s="1"/>
  <c r="AR81" i="1"/>
  <c r="AZ81" i="1" s="1"/>
  <c r="BM81" i="1" s="1"/>
  <c r="AR28" i="1"/>
  <c r="AZ28" i="1" s="1"/>
  <c r="BM28" i="1" s="1"/>
  <c r="AR250" i="1"/>
  <c r="AZ250" i="1" s="1"/>
  <c r="BM250" i="1" s="1"/>
  <c r="CB250" i="1" s="1"/>
  <c r="AR220" i="1"/>
  <c r="AZ220" i="1" s="1"/>
  <c r="BM220" i="1" s="1"/>
  <c r="AR203" i="1"/>
  <c r="AZ203" i="1" s="1"/>
  <c r="BM203" i="1" s="1"/>
  <c r="CB203" i="1" s="1"/>
  <c r="AR167" i="1"/>
  <c r="AZ167" i="1" s="1"/>
  <c r="BM167" i="1" s="1"/>
  <c r="CB167" i="1" s="1"/>
  <c r="AR138" i="1"/>
  <c r="AR15" i="1"/>
  <c r="AZ15" i="1" s="1"/>
  <c r="BM15" i="1" s="1"/>
  <c r="AR165" i="1"/>
  <c r="AZ165" i="1" s="1"/>
  <c r="BM165" i="1" s="1"/>
  <c r="CB165" i="1" s="1"/>
  <c r="AR264" i="1"/>
  <c r="AZ264" i="1" s="1"/>
  <c r="BM264" i="1" s="1"/>
  <c r="CB264" i="1" s="1"/>
  <c r="AR90" i="1"/>
  <c r="AZ90" i="1" s="1"/>
  <c r="BM90" i="1" s="1"/>
  <c r="CB90" i="1" s="1"/>
  <c r="AR18" i="1"/>
  <c r="AZ18" i="1" s="1"/>
  <c r="BM18" i="1" s="1"/>
  <c r="AR201" i="1"/>
  <c r="AR173" i="1"/>
  <c r="AZ173" i="1" s="1"/>
  <c r="BM173" i="1" s="1"/>
  <c r="CB173" i="1" s="1"/>
  <c r="AR206" i="1"/>
  <c r="AZ206" i="1" s="1"/>
  <c r="BM206" i="1" s="1"/>
  <c r="CB206" i="1" s="1"/>
  <c r="AR192" i="1"/>
  <c r="AZ192" i="1" s="1"/>
  <c r="BM192" i="1" s="1"/>
  <c r="CB192" i="1" s="1"/>
  <c r="AR175" i="1"/>
  <c r="AR149" i="1"/>
  <c r="AZ149" i="1" s="1"/>
  <c r="BM149" i="1" s="1"/>
  <c r="AR141" i="1"/>
  <c r="AR97" i="1"/>
  <c r="AZ97" i="1" s="1"/>
  <c r="BM97" i="1" s="1"/>
  <c r="AR64" i="1"/>
  <c r="AZ64" i="1" s="1"/>
  <c r="BM64" i="1" s="1"/>
  <c r="AR21" i="1"/>
  <c r="AR243" i="1"/>
  <c r="AR219" i="1"/>
  <c r="AZ219" i="1" s="1"/>
  <c r="BM219" i="1" s="1"/>
  <c r="AR178" i="1"/>
  <c r="AR151" i="1"/>
  <c r="AZ151" i="1" s="1"/>
  <c r="BM151" i="1" s="1"/>
  <c r="AR121" i="1"/>
  <c r="AZ121" i="1" s="1"/>
  <c r="BM121" i="1" s="1"/>
  <c r="AR109" i="1"/>
  <c r="AZ109" i="1" s="1"/>
  <c r="BM109" i="1" s="1"/>
  <c r="AR100" i="1"/>
  <c r="AR38" i="1"/>
  <c r="AR298" i="1"/>
  <c r="AZ298" i="1" s="1"/>
  <c r="BM298" i="1" s="1"/>
  <c r="CB298" i="1" s="1"/>
  <c r="AR229" i="1"/>
  <c r="AZ229" i="1" s="1"/>
  <c r="BM229" i="1" s="1"/>
  <c r="CB229" i="1" s="1"/>
  <c r="AR196" i="1"/>
  <c r="AZ196" i="1" s="1"/>
  <c r="BM196" i="1" s="1"/>
  <c r="CB196" i="1" s="1"/>
  <c r="AR176" i="1"/>
  <c r="AZ176" i="1" s="1"/>
  <c r="BM176" i="1" s="1"/>
  <c r="CB176" i="1" s="1"/>
  <c r="AR22" i="1"/>
  <c r="AR242" i="1"/>
  <c r="AZ242" i="1" s="1"/>
  <c r="BM242" i="1" s="1"/>
  <c r="CB242" i="1" s="1"/>
  <c r="AR154" i="1"/>
  <c r="AZ154" i="1" s="1"/>
  <c r="BM154" i="1" s="1"/>
  <c r="AR86" i="1"/>
  <c r="AR232" i="1"/>
  <c r="AR180" i="1"/>
  <c r="AZ180" i="1" s="1"/>
  <c r="BM180" i="1" s="1"/>
  <c r="CB180" i="1" s="1"/>
  <c r="AR6" i="1"/>
  <c r="AZ6" i="1" s="1"/>
  <c r="AN239" i="1"/>
  <c r="AH239" i="1"/>
  <c r="AJ239" i="1"/>
  <c r="AR198" i="1"/>
  <c r="AZ198" i="1" s="1"/>
  <c r="BM198" i="1" s="1"/>
  <c r="CB198" i="1" s="1"/>
  <c r="AR127" i="1"/>
  <c r="AZ127" i="1" s="1"/>
  <c r="BM127" i="1" s="1"/>
  <c r="CB127" i="1" s="1"/>
  <c r="AR259" i="1"/>
  <c r="V89" i="1"/>
  <c r="AR295" i="1"/>
  <c r="AZ295" i="1" s="1"/>
  <c r="BM295" i="1" s="1"/>
  <c r="CB295" i="1" s="1"/>
  <c r="AR230" i="1"/>
  <c r="AR214" i="1"/>
  <c r="AR197" i="1"/>
  <c r="AZ197" i="1" s="1"/>
  <c r="BM197" i="1" s="1"/>
  <c r="CB197" i="1" s="1"/>
  <c r="AR144" i="1"/>
  <c r="AZ144" i="1" s="1"/>
  <c r="BM144" i="1" s="1"/>
  <c r="CB144" i="1" s="1"/>
  <c r="AR130" i="1"/>
  <c r="AZ130" i="1" s="1"/>
  <c r="BM130" i="1" s="1"/>
  <c r="AR118" i="1"/>
  <c r="AR58" i="1"/>
  <c r="AZ58" i="1" s="1"/>
  <c r="BM58" i="1" s="1"/>
  <c r="AR35" i="1"/>
  <c r="AZ35" i="1" s="1"/>
  <c r="BM35" i="1" s="1"/>
  <c r="AR251" i="1"/>
  <c r="AR202" i="1"/>
  <c r="AR182" i="1"/>
  <c r="AZ182" i="1" s="1"/>
  <c r="BM182" i="1" s="1"/>
  <c r="CB182" i="1" s="1"/>
  <c r="AR145" i="1"/>
  <c r="AR112" i="1"/>
  <c r="AR103" i="1"/>
  <c r="AZ103" i="1" s="1"/>
  <c r="BM103" i="1" s="1"/>
  <c r="AR25" i="1"/>
  <c r="AZ25" i="1" s="1"/>
  <c r="BM25" i="1" s="1"/>
  <c r="W223" i="1"/>
  <c r="AR268" i="1"/>
  <c r="AZ268" i="1" s="1"/>
  <c r="BM268" i="1" s="1"/>
  <c r="Y256" i="1"/>
  <c r="AR148" i="1"/>
  <c r="AZ148" i="1" s="1"/>
  <c r="BM148" i="1" s="1"/>
  <c r="AR129" i="1"/>
  <c r="AR252" i="1"/>
  <c r="AZ252" i="1" s="1"/>
  <c r="BM252" i="1" s="1"/>
  <c r="CB252" i="1" s="1"/>
  <c r="AR246" i="1"/>
  <c r="AR208" i="1"/>
  <c r="AZ208" i="1" s="1"/>
  <c r="BM208" i="1" s="1"/>
  <c r="CB208" i="1" s="1"/>
  <c r="CB209" i="1" s="1"/>
  <c r="AR183" i="1"/>
  <c r="AZ183" i="1" s="1"/>
  <c r="BM183" i="1" s="1"/>
  <c r="CB183" i="1" s="1"/>
  <c r="AR152" i="1"/>
  <c r="AZ152" i="1" s="1"/>
  <c r="BM152" i="1" s="1"/>
  <c r="AR9" i="1"/>
  <c r="AR301" i="1"/>
  <c r="AZ301" i="1" s="1"/>
  <c r="BM301" i="1" s="1"/>
  <c r="CB301" i="1" s="1"/>
  <c r="AR44" i="1"/>
  <c r="AZ44" i="1" s="1"/>
  <c r="BM44" i="1" s="1"/>
  <c r="AR45" i="1"/>
  <c r="AZ45" i="1" s="1"/>
  <c r="BM45" i="1" s="1"/>
  <c r="AR119" i="1"/>
  <c r="AJ286" i="1"/>
  <c r="AJ288" i="1" s="1"/>
  <c r="AE57" i="1"/>
  <c r="Y59" i="1"/>
  <c r="AN226" i="1"/>
  <c r="AN46" i="1"/>
  <c r="AJ257" i="1"/>
  <c r="AJ260" i="1" s="1"/>
  <c r="AE166" i="1"/>
  <c r="Y168" i="1"/>
  <c r="Y185" i="1" s="1"/>
  <c r="AN222" i="1"/>
  <c r="AN255" i="1"/>
  <c r="AJ27" i="1"/>
  <c r="AJ29" i="1" s="1"/>
  <c r="AN27" i="1"/>
  <c r="AN266" i="1"/>
  <c r="AJ188" i="1"/>
  <c r="AJ191" i="1" s="1"/>
  <c r="AN188" i="1"/>
  <c r="AE80" i="1"/>
  <c r="AH80" i="1" s="1"/>
  <c r="AH82" i="1" s="1"/>
  <c r="Y82" i="1"/>
  <c r="AE249" i="1"/>
  <c r="Y253" i="1"/>
  <c r="AE83" i="1"/>
  <c r="AE85" i="1" s="1"/>
  <c r="AE11" i="1"/>
  <c r="AE13" i="1" s="1"/>
  <c r="AE147" i="1"/>
  <c r="AE156" i="1" s="1"/>
  <c r="Y135" i="1"/>
  <c r="AE8" i="1"/>
  <c r="AE137" i="1"/>
  <c r="Y49" i="1"/>
  <c r="Y271" i="1"/>
  <c r="AN227" i="1"/>
  <c r="AN270" i="1"/>
  <c r="AE186" i="1"/>
  <c r="Y187" i="1"/>
  <c r="AN209" i="1"/>
  <c r="Y228" i="1"/>
  <c r="Y240" i="1" s="1"/>
  <c r="AE30" i="1"/>
  <c r="AE33" i="1" s="1"/>
  <c r="AE5" i="1"/>
  <c r="AE7" i="1" s="1"/>
  <c r="AE254" i="1"/>
  <c r="AE256" i="1" s="1"/>
  <c r="AE17" i="1"/>
  <c r="AE233" i="1"/>
  <c r="AE263" i="1"/>
  <c r="AE159" i="1"/>
  <c r="Y286" i="1"/>
  <c r="Y288" i="1" s="1"/>
  <c r="W135" i="1"/>
  <c r="W185" i="1"/>
  <c r="AH266" i="1"/>
  <c r="AJ266" i="1"/>
  <c r="AH227" i="1"/>
  <c r="AJ227" i="1"/>
  <c r="AH226" i="1"/>
  <c r="AJ226" i="1"/>
  <c r="AH46" i="1"/>
  <c r="AJ46" i="1"/>
  <c r="AH270" i="1"/>
  <c r="AJ270" i="1"/>
  <c r="AJ253" i="1"/>
  <c r="AH222" i="1"/>
  <c r="AJ222" i="1"/>
  <c r="AH255" i="1"/>
  <c r="AJ255" i="1"/>
  <c r="AH27" i="1"/>
  <c r="AH29" i="1" s="1"/>
  <c r="AH253" i="1"/>
  <c r="AE286" i="1"/>
  <c r="AH286" i="1"/>
  <c r="AH288" i="1" s="1"/>
  <c r="AE260" i="1"/>
  <c r="AH257" i="1"/>
  <c r="AH260" i="1" s="1"/>
  <c r="AE191" i="1"/>
  <c r="AH188" i="1"/>
  <c r="AH191" i="1" s="1"/>
  <c r="AE50" i="1"/>
  <c r="AE76" i="1"/>
  <c r="AE132" i="1"/>
  <c r="AE108" i="1"/>
  <c r="AJ187" i="1"/>
  <c r="AE40" i="1"/>
  <c r="AE69" i="1"/>
  <c r="AE91" i="1"/>
  <c r="AE105" i="1"/>
  <c r="AE120" i="1"/>
  <c r="AE171" i="1"/>
  <c r="AE210" i="1"/>
  <c r="AE267" i="1"/>
  <c r="AE140" i="1"/>
  <c r="AE162" i="1"/>
  <c r="AE49" i="1"/>
  <c r="AE228" i="1"/>
  <c r="AE34" i="1"/>
  <c r="AE63" i="1"/>
  <c r="AE99" i="1"/>
  <c r="AE111" i="1"/>
  <c r="AE193" i="1"/>
  <c r="AE218" i="1"/>
  <c r="AE60" i="1"/>
  <c r="AE62" i="1" s="1"/>
  <c r="AE72" i="1"/>
  <c r="AE75" i="1" s="1"/>
  <c r="AE96" i="1"/>
  <c r="AE123" i="1"/>
  <c r="AE181" i="1"/>
  <c r="AE215" i="1"/>
  <c r="AE241" i="1"/>
  <c r="AE177" i="1"/>
  <c r="AE37" i="1"/>
  <c r="AE53" i="1"/>
  <c r="AE66" i="1"/>
  <c r="AE102" i="1"/>
  <c r="AE115" i="1"/>
  <c r="AJ168" i="1"/>
  <c r="AJ209" i="1"/>
  <c r="AE261" i="1"/>
  <c r="AE143" i="1"/>
  <c r="BR45" i="1" l="1"/>
  <c r="CB45" i="1"/>
  <c r="BR44" i="1"/>
  <c r="CB44" i="1"/>
  <c r="AV257" i="1"/>
  <c r="AV260" i="1" s="1"/>
  <c r="BR152" i="1"/>
  <c r="BR252" i="1"/>
  <c r="BR268" i="1"/>
  <c r="BR130" i="1"/>
  <c r="BR127" i="1"/>
  <c r="BR176" i="1"/>
  <c r="BR151" i="1"/>
  <c r="BR149" i="1"/>
  <c r="BR173" i="1"/>
  <c r="BR264" i="1"/>
  <c r="BR167" i="1"/>
  <c r="BR28" i="1"/>
  <c r="BV28" i="1" s="1"/>
  <c r="CB28" i="1" s="1"/>
  <c r="BR153" i="1"/>
  <c r="BR245" i="1"/>
  <c r="BR293" i="1"/>
  <c r="BR158" i="1"/>
  <c r="BR258" i="1"/>
  <c r="BR163" i="1"/>
  <c r="BR292" i="1"/>
  <c r="BR103" i="1"/>
  <c r="BR298" i="1"/>
  <c r="BR121" i="1"/>
  <c r="BR206" i="1"/>
  <c r="BR90" i="1"/>
  <c r="BR250" i="1"/>
  <c r="BR133" i="1"/>
  <c r="BR131" i="1"/>
  <c r="BR126" i="1"/>
  <c r="BR302" i="1"/>
  <c r="BR301" i="1"/>
  <c r="BR148" i="1"/>
  <c r="BR182" i="1"/>
  <c r="BR58" i="1"/>
  <c r="BR197" i="1"/>
  <c r="BR180" i="1"/>
  <c r="BR242" i="1"/>
  <c r="BR229" i="1"/>
  <c r="BR109" i="1"/>
  <c r="BR219" i="1"/>
  <c r="BR97" i="1"/>
  <c r="BV97" i="1" s="1"/>
  <c r="CB97" i="1" s="1"/>
  <c r="BR192" i="1"/>
  <c r="BR18" i="1"/>
  <c r="BR15" i="1"/>
  <c r="BV15" i="1" s="1"/>
  <c r="CB15" i="1" s="1"/>
  <c r="BR220" i="1"/>
  <c r="BR169" i="1"/>
  <c r="BR116" i="1"/>
  <c r="BR204" i="1"/>
  <c r="BR54" i="1"/>
  <c r="BR189" i="1"/>
  <c r="BR70" i="1"/>
  <c r="BV70" i="1" s="1"/>
  <c r="CB70" i="1" s="1"/>
  <c r="BR212" i="1"/>
  <c r="BR77" i="1"/>
  <c r="BR300" i="1"/>
  <c r="BV300" i="1" s="1"/>
  <c r="CB300" i="1" s="1"/>
  <c r="BR67" i="1"/>
  <c r="BV67" i="1" s="1"/>
  <c r="CB67" i="1" s="1"/>
  <c r="BR124" i="1"/>
  <c r="BV124" i="1" s="1"/>
  <c r="CB124" i="1" s="1"/>
  <c r="BR200" i="1"/>
  <c r="BR92" i="1"/>
  <c r="BV92" i="1" s="1"/>
  <c r="CB92" i="1" s="1"/>
  <c r="BR291" i="1"/>
  <c r="BR114" i="1"/>
  <c r="BR183" i="1"/>
  <c r="BR35" i="1"/>
  <c r="BR144" i="1"/>
  <c r="BR295" i="1"/>
  <c r="BR198" i="1"/>
  <c r="BR154" i="1"/>
  <c r="BR196" i="1"/>
  <c r="BR64" i="1"/>
  <c r="BV64" i="1" s="1"/>
  <c r="CB64" i="1" s="1"/>
  <c r="BR165" i="1"/>
  <c r="BR203" i="1"/>
  <c r="BR81" i="1"/>
  <c r="BR172" i="1"/>
  <c r="BR23" i="1"/>
  <c r="BR170" i="1"/>
  <c r="BR299" i="1"/>
  <c r="BR194" i="1"/>
  <c r="BR42" i="1"/>
  <c r="BR106" i="1"/>
  <c r="BR190" i="1"/>
  <c r="BR51" i="1"/>
  <c r="BV51" i="1" s="1"/>
  <c r="CB51" i="1" s="1"/>
  <c r="BR234" i="1"/>
  <c r="BR231" i="1"/>
  <c r="BR161" i="1"/>
  <c r="AE238" i="1"/>
  <c r="AH289" i="1"/>
  <c r="AH290" i="1" s="1"/>
  <c r="AN289" i="1"/>
  <c r="AN290" i="1" s="1"/>
  <c r="AJ236" i="1"/>
  <c r="AJ238" i="1" s="1"/>
  <c r="AJ14" i="1"/>
  <c r="AJ16" i="1" s="1"/>
  <c r="AH236" i="1"/>
  <c r="AH238" i="1" s="1"/>
  <c r="AE290" i="1"/>
  <c r="AJ289" i="1"/>
  <c r="AJ290" i="1" s="1"/>
  <c r="AN236" i="1"/>
  <c r="BM209" i="1"/>
  <c r="BR208" i="1"/>
  <c r="BN25" i="1"/>
  <c r="BR25" i="1"/>
  <c r="AZ87" i="1"/>
  <c r="BM87" i="1" s="1"/>
  <c r="CB87" i="1" s="1"/>
  <c r="AR308" i="1"/>
  <c r="BE301" i="1"/>
  <c r="BE148" i="1"/>
  <c r="BE25" i="1"/>
  <c r="BE182" i="1"/>
  <c r="BE58" i="1"/>
  <c r="BE242" i="1"/>
  <c r="BE229" i="1"/>
  <c r="BE109" i="1"/>
  <c r="BE219" i="1"/>
  <c r="BE97" i="1"/>
  <c r="BE192" i="1"/>
  <c r="BE18" i="1"/>
  <c r="BE15" i="1"/>
  <c r="BE220" i="1"/>
  <c r="BE116" i="1"/>
  <c r="BE204" i="1"/>
  <c r="BE54" i="1"/>
  <c r="BE189" i="1"/>
  <c r="BE70" i="1"/>
  <c r="BE212" i="1"/>
  <c r="BE77" i="1"/>
  <c r="BE300" i="1"/>
  <c r="BE67" i="1"/>
  <c r="BE124" i="1"/>
  <c r="BE200" i="1"/>
  <c r="BE92" i="1"/>
  <c r="BE291" i="1"/>
  <c r="BE103" i="1"/>
  <c r="BE298" i="1"/>
  <c r="BE121" i="1"/>
  <c r="BE206" i="1"/>
  <c r="BE250" i="1"/>
  <c r="BE133" i="1"/>
  <c r="BE78" i="1"/>
  <c r="BP78" i="1"/>
  <c r="BP79" i="1" s="1"/>
  <c r="BE126" i="1"/>
  <c r="BE161" i="1"/>
  <c r="BE152" i="1"/>
  <c r="BE252" i="1"/>
  <c r="BE268" i="1"/>
  <c r="BE130" i="1"/>
  <c r="BE127" i="1"/>
  <c r="BE151" i="1"/>
  <c r="BE149" i="1"/>
  <c r="BE173" i="1"/>
  <c r="BE167" i="1"/>
  <c r="BE28" i="1"/>
  <c r="BE153" i="1"/>
  <c r="BE245" i="1"/>
  <c r="BE158" i="1"/>
  <c r="BE258" i="1"/>
  <c r="BE163" i="1"/>
  <c r="BE231" i="1"/>
  <c r="BE44" i="1"/>
  <c r="BE183" i="1"/>
  <c r="BE35" i="1"/>
  <c r="BE144" i="1"/>
  <c r="BE295" i="1"/>
  <c r="BE198" i="1"/>
  <c r="BE6" i="1"/>
  <c r="BM6" i="1"/>
  <c r="BE154" i="1"/>
  <c r="BE64" i="1"/>
  <c r="BE165" i="1"/>
  <c r="BE203" i="1"/>
  <c r="BE81" i="1"/>
  <c r="BE172" i="1"/>
  <c r="BE23" i="1"/>
  <c r="BE170" i="1"/>
  <c r="BE194" i="1"/>
  <c r="BE42" i="1"/>
  <c r="BE106" i="1"/>
  <c r="BE190" i="1"/>
  <c r="BE51" i="1"/>
  <c r="BE234" i="1"/>
  <c r="BE114" i="1"/>
  <c r="Y223" i="1"/>
  <c r="AH14" i="1"/>
  <c r="AH16" i="1" s="1"/>
  <c r="AE16" i="1"/>
  <c r="AN14" i="1"/>
  <c r="AY92" i="1"/>
  <c r="AH83" i="1"/>
  <c r="AH85" i="1" s="1"/>
  <c r="AZ119" i="1"/>
  <c r="BM119" i="1" s="1"/>
  <c r="CB119" i="1" s="1"/>
  <c r="AZ246" i="1"/>
  <c r="BM246" i="1" s="1"/>
  <c r="CB246" i="1" s="1"/>
  <c r="AZ202" i="1"/>
  <c r="BM202" i="1" s="1"/>
  <c r="CB202" i="1" s="1"/>
  <c r="AZ214" i="1"/>
  <c r="BM214" i="1" s="1"/>
  <c r="CB214" i="1" s="1"/>
  <c r="AZ232" i="1"/>
  <c r="BM232" i="1" s="1"/>
  <c r="CB232" i="1" s="1"/>
  <c r="BE90" i="1"/>
  <c r="AZ237" i="1"/>
  <c r="BM237" i="1" s="1"/>
  <c r="AZ247" i="1"/>
  <c r="BM247" i="1" s="1"/>
  <c r="CB247" i="1" s="1"/>
  <c r="AZ297" i="1"/>
  <c r="BM297" i="1" s="1"/>
  <c r="CB297" i="1" s="1"/>
  <c r="BE208" i="1"/>
  <c r="AZ209" i="1"/>
  <c r="BE197" i="1"/>
  <c r="BE180" i="1"/>
  <c r="BE169" i="1"/>
  <c r="V310" i="1"/>
  <c r="AZ22" i="1"/>
  <c r="BM22" i="1" s="1"/>
  <c r="AZ296" i="1"/>
  <c r="BM296" i="1" s="1"/>
  <c r="CB296" i="1" s="1"/>
  <c r="AZ211" i="1"/>
  <c r="BM211" i="1" s="1"/>
  <c r="CB211" i="1" s="1"/>
  <c r="AZ94" i="1"/>
  <c r="BM94" i="1" s="1"/>
  <c r="BE131" i="1"/>
  <c r="AZ216" i="1"/>
  <c r="BM216" i="1" s="1"/>
  <c r="AZ129" i="1"/>
  <c r="BM129" i="1" s="1"/>
  <c r="CB129" i="1" s="1"/>
  <c r="AZ145" i="1"/>
  <c r="BM145" i="1" s="1"/>
  <c r="CB145" i="1" s="1"/>
  <c r="AZ100" i="1"/>
  <c r="BM100" i="1" s="1"/>
  <c r="AZ175" i="1"/>
  <c r="BM175" i="1" s="1"/>
  <c r="CB175" i="1" s="1"/>
  <c r="AZ201" i="1"/>
  <c r="BM201" i="1" s="1"/>
  <c r="CB201" i="1" s="1"/>
  <c r="BE299" i="1"/>
  <c r="AZ294" i="1"/>
  <c r="BM294" i="1" s="1"/>
  <c r="CB294" i="1" s="1"/>
  <c r="AZ41" i="1"/>
  <c r="BM41" i="1" s="1"/>
  <c r="AZ9" i="1"/>
  <c r="AZ118" i="1"/>
  <c r="BM118" i="1" s="1"/>
  <c r="CB118" i="1" s="1"/>
  <c r="AZ259" i="1"/>
  <c r="BM259" i="1" s="1"/>
  <c r="CB259" i="1" s="1"/>
  <c r="AZ243" i="1"/>
  <c r="BM243" i="1" s="1"/>
  <c r="CB243" i="1" s="1"/>
  <c r="AZ141" i="1"/>
  <c r="BM141" i="1" s="1"/>
  <c r="CB141" i="1" s="1"/>
  <c r="AZ138" i="1"/>
  <c r="BM138" i="1" s="1"/>
  <c r="CB138" i="1" s="1"/>
  <c r="AZ244" i="1"/>
  <c r="BM244" i="1" s="1"/>
  <c r="CB244" i="1" s="1"/>
  <c r="AZ155" i="1"/>
  <c r="BM155" i="1" s="1"/>
  <c r="BE196" i="1"/>
  <c r="AZ178" i="1"/>
  <c r="BM178" i="1" s="1"/>
  <c r="CB178" i="1" s="1"/>
  <c r="BE45" i="1"/>
  <c r="AZ112" i="1"/>
  <c r="BM112" i="1" s="1"/>
  <c r="AZ251" i="1"/>
  <c r="BM251" i="1" s="1"/>
  <c r="CB251" i="1" s="1"/>
  <c r="AZ230" i="1"/>
  <c r="BM230" i="1" s="1"/>
  <c r="CB230" i="1" s="1"/>
  <c r="AZ86" i="1"/>
  <c r="BM86" i="1" s="1"/>
  <c r="BE176" i="1"/>
  <c r="AZ38" i="1"/>
  <c r="BM38" i="1" s="1"/>
  <c r="AZ21" i="1"/>
  <c r="BM21" i="1" s="1"/>
  <c r="BE264" i="1"/>
  <c r="AZ12" i="1"/>
  <c r="BM12" i="1" s="1"/>
  <c r="AZ128" i="1"/>
  <c r="BM128" i="1" s="1"/>
  <c r="BE293" i="1"/>
  <c r="AZ150" i="1"/>
  <c r="BM150" i="1" s="1"/>
  <c r="AZ20" i="1"/>
  <c r="BM20" i="1" s="1"/>
  <c r="AZ95" i="1"/>
  <c r="BM95" i="1" s="1"/>
  <c r="AZ19" i="1"/>
  <c r="BM19" i="1" s="1"/>
  <c r="AZ136" i="1"/>
  <c r="BM136" i="1" s="1"/>
  <c r="CB136" i="1" s="1"/>
  <c r="BE302" i="1"/>
  <c r="AV5" i="1"/>
  <c r="AV7" i="1" s="1"/>
  <c r="AE56" i="1"/>
  <c r="AV53" i="1"/>
  <c r="AV56" i="1" s="1"/>
  <c r="AV72" i="1"/>
  <c r="AV75" i="1" s="1"/>
  <c r="AV140" i="1"/>
  <c r="AV142" i="1" s="1"/>
  <c r="AV40" i="1"/>
  <c r="AV43" i="1" s="1"/>
  <c r="AV66" i="1"/>
  <c r="AV68" i="1" s="1"/>
  <c r="AV241" i="1"/>
  <c r="AV248" i="1" s="1"/>
  <c r="AV96" i="1"/>
  <c r="AV98" i="1" s="1"/>
  <c r="AV193" i="1"/>
  <c r="AV195" i="1" s="1"/>
  <c r="AV34" i="1"/>
  <c r="AV36" i="1" s="1"/>
  <c r="AV162" i="1"/>
  <c r="AV164" i="1" s="1"/>
  <c r="AV171" i="1"/>
  <c r="AV174" i="1" s="1"/>
  <c r="AV69" i="1"/>
  <c r="AV71" i="1" s="1"/>
  <c r="AV132" i="1"/>
  <c r="AV134" i="1" s="1"/>
  <c r="AH17" i="1"/>
  <c r="AH24" i="1" s="1"/>
  <c r="AH26" i="1" s="1"/>
  <c r="AV17" i="1"/>
  <c r="AV24" i="1" s="1"/>
  <c r="AV26" i="1" s="1"/>
  <c r="AV8" i="1"/>
  <c r="AV10" i="1" s="1"/>
  <c r="AV83" i="1"/>
  <c r="AV85" i="1" s="1"/>
  <c r="AE82" i="1"/>
  <c r="AV80" i="1"/>
  <c r="AV82" i="1" s="1"/>
  <c r="BA25" i="1"/>
  <c r="AV181" i="1"/>
  <c r="AV184" i="1" s="1"/>
  <c r="AV99" i="1"/>
  <c r="AV101" i="1" s="1"/>
  <c r="AV261" i="1"/>
  <c r="AV102" i="1"/>
  <c r="AV104" i="1" s="1"/>
  <c r="AV177" i="1"/>
  <c r="AV179" i="1" s="1"/>
  <c r="AV123" i="1"/>
  <c r="AV125" i="1" s="1"/>
  <c r="AV218" i="1"/>
  <c r="AV221" i="1" s="1"/>
  <c r="AV63" i="1"/>
  <c r="AV65" i="1" s="1"/>
  <c r="AV210" i="1"/>
  <c r="AV213" i="1" s="1"/>
  <c r="AV91" i="1"/>
  <c r="AV93" i="1" s="1"/>
  <c r="AV108" i="1"/>
  <c r="AV110" i="1" s="1"/>
  <c r="AV233" i="1"/>
  <c r="AV235" i="1" s="1"/>
  <c r="AH30" i="1"/>
  <c r="AH33" i="1" s="1"/>
  <c r="AV137" i="1"/>
  <c r="AV139" i="1" s="1"/>
  <c r="AH11" i="1"/>
  <c r="AH13" i="1" s="1"/>
  <c r="AV11" i="1"/>
  <c r="AV13" i="1" s="1"/>
  <c r="AV166" i="1"/>
  <c r="AV168" i="1" s="1"/>
  <c r="AV57" i="1"/>
  <c r="AV59" i="1" s="1"/>
  <c r="AV37" i="1"/>
  <c r="AV39" i="1" s="1"/>
  <c r="AV105" i="1"/>
  <c r="AV107" i="1" s="1"/>
  <c r="AV147" i="1"/>
  <c r="AV156" i="1" s="1"/>
  <c r="AV143" i="1"/>
  <c r="AV146" i="1" s="1"/>
  <c r="AV60" i="1"/>
  <c r="AV62" i="1" s="1"/>
  <c r="AV267" i="1"/>
  <c r="AV269" i="1" s="1"/>
  <c r="AV271" i="1" s="1"/>
  <c r="AV50" i="1"/>
  <c r="AV52" i="1" s="1"/>
  <c r="AV263" i="1"/>
  <c r="AV265" i="1" s="1"/>
  <c r="AV249" i="1"/>
  <c r="AV253" i="1" s="1"/>
  <c r="AV215" i="1"/>
  <c r="AV217" i="1" s="1"/>
  <c r="AV111" i="1"/>
  <c r="AV113" i="1" s="1"/>
  <c r="AV120" i="1"/>
  <c r="AV122" i="1" s="1"/>
  <c r="AV76" i="1"/>
  <c r="AV79" i="1" s="1"/>
  <c r="AV159" i="1"/>
  <c r="AV160" i="1" s="1"/>
  <c r="AV254" i="1"/>
  <c r="AV256" i="1" s="1"/>
  <c r="AV186" i="1"/>
  <c r="AV228" i="1"/>
  <c r="AH5" i="1"/>
  <c r="AH7" i="1" s="1"/>
  <c r="AE265" i="1"/>
  <c r="AE288" i="1"/>
  <c r="AH159" i="1"/>
  <c r="AH160" i="1" s="1"/>
  <c r="AH254" i="1"/>
  <c r="AH256" i="1" s="1"/>
  <c r="AE139" i="1"/>
  <c r="AN166" i="1"/>
  <c r="AR166" i="1" s="1"/>
  <c r="AH233" i="1"/>
  <c r="AH235" i="1" s="1"/>
  <c r="AH147" i="1"/>
  <c r="AH156" i="1" s="1"/>
  <c r="AH263" i="1"/>
  <c r="AH265" i="1" s="1"/>
  <c r="AR209" i="1"/>
  <c r="AE235" i="1"/>
  <c r="AE240" i="1" s="1"/>
  <c r="AE160" i="1"/>
  <c r="AR236" i="1"/>
  <c r="AJ254" i="1"/>
  <c r="AJ256" i="1" s="1"/>
  <c r="AJ49" i="1"/>
  <c r="AR270" i="1"/>
  <c r="AZ270" i="1" s="1"/>
  <c r="BM270" i="1" s="1"/>
  <c r="CB270" i="1" s="1"/>
  <c r="Y89" i="1"/>
  <c r="AR266" i="1"/>
  <c r="AH228" i="1"/>
  <c r="AR27" i="1"/>
  <c r="AR46" i="1"/>
  <c r="AZ46" i="1" s="1"/>
  <c r="BM46" i="1" s="1"/>
  <c r="CB46" i="1" s="1"/>
  <c r="CB49" i="1" s="1"/>
  <c r="W310" i="1"/>
  <c r="Y262" i="1"/>
  <c r="AR188" i="1"/>
  <c r="AR222" i="1"/>
  <c r="AR226" i="1"/>
  <c r="AR272" i="1"/>
  <c r="AZ272" i="1" s="1"/>
  <c r="BM272" i="1" s="1"/>
  <c r="AN199" i="1"/>
  <c r="AN205" i="1" s="1"/>
  <c r="AH199" i="1"/>
  <c r="AH205" i="1" s="1"/>
  <c r="AJ199" i="1"/>
  <c r="AJ205" i="1" s="1"/>
  <c r="AR227" i="1"/>
  <c r="AR255" i="1"/>
  <c r="AZ255" i="1" s="1"/>
  <c r="BM255" i="1" s="1"/>
  <c r="CB255" i="1" s="1"/>
  <c r="AR257" i="1"/>
  <c r="AZ257" i="1" s="1"/>
  <c r="BM257" i="1" s="1"/>
  <c r="CB257" i="1" s="1"/>
  <c r="CB260" i="1" s="1"/>
  <c r="AJ123" i="1"/>
  <c r="AJ125" i="1" s="1"/>
  <c r="AN123" i="1"/>
  <c r="AJ63" i="1"/>
  <c r="AJ65" i="1" s="1"/>
  <c r="AN63" i="1"/>
  <c r="AJ210" i="1"/>
  <c r="AJ213" i="1" s="1"/>
  <c r="AN210" i="1"/>
  <c r="AN261" i="1"/>
  <c r="AJ37" i="1"/>
  <c r="AJ39" i="1" s="1"/>
  <c r="AN37" i="1"/>
  <c r="AJ60" i="1"/>
  <c r="AJ62" i="1" s="1"/>
  <c r="AN60" i="1"/>
  <c r="AN62" i="1" s="1"/>
  <c r="AJ105" i="1"/>
  <c r="AJ107" i="1" s="1"/>
  <c r="AN105" i="1"/>
  <c r="AJ233" i="1"/>
  <c r="AJ235" i="1" s="1"/>
  <c r="AN233" i="1"/>
  <c r="AR239" i="1"/>
  <c r="AJ8" i="1"/>
  <c r="AJ10" i="1" s="1"/>
  <c r="AN8" i="1"/>
  <c r="AN249" i="1"/>
  <c r="AR249" i="1" s="1"/>
  <c r="AN228" i="1"/>
  <c r="AJ143" i="1"/>
  <c r="AJ146" i="1" s="1"/>
  <c r="AN143" i="1"/>
  <c r="AJ115" i="1"/>
  <c r="AJ117" i="1" s="1"/>
  <c r="AN115" i="1"/>
  <c r="AJ215" i="1"/>
  <c r="AJ217" i="1" s="1"/>
  <c r="AN215" i="1"/>
  <c r="AJ111" i="1"/>
  <c r="AJ113" i="1" s="1"/>
  <c r="AN111" i="1"/>
  <c r="AJ120" i="1"/>
  <c r="AJ122" i="1" s="1"/>
  <c r="AN120" i="1"/>
  <c r="AJ66" i="1"/>
  <c r="AJ68" i="1" s="1"/>
  <c r="AN66" i="1"/>
  <c r="AJ241" i="1"/>
  <c r="AJ248" i="1" s="1"/>
  <c r="AN241" i="1"/>
  <c r="AJ96" i="1"/>
  <c r="AJ98" i="1" s="1"/>
  <c r="AN96" i="1"/>
  <c r="AJ193" i="1"/>
  <c r="AJ195" i="1" s="1"/>
  <c r="AN193" i="1"/>
  <c r="AJ34" i="1"/>
  <c r="AJ36" i="1" s="1"/>
  <c r="AN34" i="1"/>
  <c r="AJ162" i="1"/>
  <c r="AJ164" i="1" s="1"/>
  <c r="AN162" i="1"/>
  <c r="AJ171" i="1"/>
  <c r="AJ174" i="1" s="1"/>
  <c r="AN171" i="1"/>
  <c r="AJ69" i="1"/>
  <c r="AJ71" i="1" s="1"/>
  <c r="AN69" i="1"/>
  <c r="AJ108" i="1"/>
  <c r="AJ110" i="1" s="1"/>
  <c r="AN108" i="1"/>
  <c r="AJ159" i="1"/>
  <c r="AJ160" i="1" s="1"/>
  <c r="AN159" i="1"/>
  <c r="AN254" i="1"/>
  <c r="AR254" i="1" s="1"/>
  <c r="AJ147" i="1"/>
  <c r="AJ156" i="1" s="1"/>
  <c r="AN147" i="1"/>
  <c r="AJ80" i="1"/>
  <c r="AJ82" i="1" s="1"/>
  <c r="AN80" i="1"/>
  <c r="AR80" i="1" s="1"/>
  <c r="AN49" i="1"/>
  <c r="AN57" i="1"/>
  <c r="AH57" i="1"/>
  <c r="AH59" i="1" s="1"/>
  <c r="AJ57" i="1"/>
  <c r="AJ59" i="1" s="1"/>
  <c r="AE253" i="1"/>
  <c r="AE24" i="1"/>
  <c r="AE10" i="1"/>
  <c r="AH8" i="1"/>
  <c r="AH10" i="1" s="1"/>
  <c r="AH49" i="1"/>
  <c r="AJ177" i="1"/>
  <c r="AJ179" i="1" s="1"/>
  <c r="AN177" i="1"/>
  <c r="AJ218" i="1"/>
  <c r="AJ221" i="1" s="1"/>
  <c r="AN218" i="1"/>
  <c r="AJ91" i="1"/>
  <c r="AJ93" i="1" s="1"/>
  <c r="AN91" i="1"/>
  <c r="AJ50" i="1"/>
  <c r="AJ52" i="1" s="1"/>
  <c r="AN50" i="1"/>
  <c r="AJ17" i="1"/>
  <c r="AJ24" i="1" s="1"/>
  <c r="AJ26" i="1" s="1"/>
  <c r="AN17" i="1"/>
  <c r="AJ30" i="1"/>
  <c r="AJ33" i="1" s="1"/>
  <c r="AN30" i="1"/>
  <c r="AN33" i="1" s="1"/>
  <c r="AN286" i="1"/>
  <c r="AN288" i="1" s="1"/>
  <c r="AJ102" i="1"/>
  <c r="AJ104" i="1" s="1"/>
  <c r="AN102" i="1"/>
  <c r="AJ181" i="1"/>
  <c r="AJ184" i="1" s="1"/>
  <c r="AN181" i="1"/>
  <c r="AJ99" i="1"/>
  <c r="AJ101" i="1" s="1"/>
  <c r="AN99" i="1"/>
  <c r="AJ267" i="1"/>
  <c r="AJ269" i="1" s="1"/>
  <c r="AJ271" i="1" s="1"/>
  <c r="AN267" i="1"/>
  <c r="AJ40" i="1"/>
  <c r="AJ43" i="1" s="1"/>
  <c r="AN40" i="1"/>
  <c r="AJ76" i="1"/>
  <c r="AJ79" i="1" s="1"/>
  <c r="AN76" i="1"/>
  <c r="AJ83" i="1"/>
  <c r="AJ85" i="1" s="1"/>
  <c r="AN83" i="1"/>
  <c r="AN238" i="1"/>
  <c r="AJ53" i="1"/>
  <c r="AJ56" i="1" s="1"/>
  <c r="AN53" i="1"/>
  <c r="AN56" i="1" s="1"/>
  <c r="AJ72" i="1"/>
  <c r="AJ75" i="1" s="1"/>
  <c r="AN72" i="1"/>
  <c r="AN75" i="1" s="1"/>
  <c r="AJ140" i="1"/>
  <c r="AJ142" i="1" s="1"/>
  <c r="AN140" i="1"/>
  <c r="AJ132" i="1"/>
  <c r="AJ134" i="1" s="1"/>
  <c r="AN132" i="1"/>
  <c r="AJ263" i="1"/>
  <c r="AJ265" i="1" s="1"/>
  <c r="AN263" i="1"/>
  <c r="AN265" i="1" s="1"/>
  <c r="AN5" i="1"/>
  <c r="AJ5" i="1"/>
  <c r="AJ7" i="1" s="1"/>
  <c r="AJ137" i="1"/>
  <c r="AJ139" i="1" s="1"/>
  <c r="AN137" i="1"/>
  <c r="AH137" i="1"/>
  <c r="AH139" i="1" s="1"/>
  <c r="AJ11" i="1"/>
  <c r="AJ13" i="1" s="1"/>
  <c r="AN11" i="1"/>
  <c r="AN191" i="1"/>
  <c r="AN29" i="1"/>
  <c r="AN260" i="1"/>
  <c r="AJ228" i="1"/>
  <c r="AH261" i="1"/>
  <c r="AJ261" i="1"/>
  <c r="AE209" i="1"/>
  <c r="AH209" i="1"/>
  <c r="AE117" i="1"/>
  <c r="AH115" i="1"/>
  <c r="AH117" i="1" s="1"/>
  <c r="AH53" i="1"/>
  <c r="AH56" i="1" s="1"/>
  <c r="AE125" i="1"/>
  <c r="AH123" i="1"/>
  <c r="AH125" i="1" s="1"/>
  <c r="AE168" i="1"/>
  <c r="AH168" i="1"/>
  <c r="AE104" i="1"/>
  <c r="AH102" i="1"/>
  <c r="AH104" i="1" s="1"/>
  <c r="AE68" i="1"/>
  <c r="AH66" i="1"/>
  <c r="AH68" i="1" s="1"/>
  <c r="AE39" i="1"/>
  <c r="AH37" i="1"/>
  <c r="AH39" i="1" s="1"/>
  <c r="AE248" i="1"/>
  <c r="AH241" i="1"/>
  <c r="AH248" i="1" s="1"/>
  <c r="AE98" i="1"/>
  <c r="AH96" i="1"/>
  <c r="AH98" i="1" s="1"/>
  <c r="AE195" i="1"/>
  <c r="AH193" i="1"/>
  <c r="AH195" i="1" s="1"/>
  <c r="AE101" i="1"/>
  <c r="AH99" i="1"/>
  <c r="AH101" i="1" s="1"/>
  <c r="AE36" i="1"/>
  <c r="AH34" i="1"/>
  <c r="AH36" i="1" s="1"/>
  <c r="AE164" i="1"/>
  <c r="AH162" i="1"/>
  <c r="AH164" i="1" s="1"/>
  <c r="AE269" i="1"/>
  <c r="AH267" i="1"/>
  <c r="AH269" i="1" s="1"/>
  <c r="AH271" i="1" s="1"/>
  <c r="AE107" i="1"/>
  <c r="AH105" i="1"/>
  <c r="AH107" i="1" s="1"/>
  <c r="AE71" i="1"/>
  <c r="AH69" i="1"/>
  <c r="AH71" i="1" s="1"/>
  <c r="AE43" i="1"/>
  <c r="AH40" i="1"/>
  <c r="AH43" i="1" s="1"/>
  <c r="AE110" i="1"/>
  <c r="AH108" i="1"/>
  <c r="AH110" i="1" s="1"/>
  <c r="AE79" i="1"/>
  <c r="AH76" i="1"/>
  <c r="AH79" i="1" s="1"/>
  <c r="AE184" i="1"/>
  <c r="AH181" i="1"/>
  <c r="AH184" i="1" s="1"/>
  <c r="AH60" i="1"/>
  <c r="AH62" i="1" s="1"/>
  <c r="AE174" i="1"/>
  <c r="AH171" i="1"/>
  <c r="AH174" i="1" s="1"/>
  <c r="AE146" i="1"/>
  <c r="AH143" i="1"/>
  <c r="AH146" i="1" s="1"/>
  <c r="AE179" i="1"/>
  <c r="AH177" i="1"/>
  <c r="AH179" i="1" s="1"/>
  <c r="AE217" i="1"/>
  <c r="AH215" i="1"/>
  <c r="AH217" i="1" s="1"/>
  <c r="AH72" i="1"/>
  <c r="AH75" i="1" s="1"/>
  <c r="AE113" i="1"/>
  <c r="AH111" i="1"/>
  <c r="AH113" i="1" s="1"/>
  <c r="AE65" i="1"/>
  <c r="AH63" i="1"/>
  <c r="AH65" i="1" s="1"/>
  <c r="AE213" i="1"/>
  <c r="AH210" i="1"/>
  <c r="AH213" i="1" s="1"/>
  <c r="AE93" i="1"/>
  <c r="AH91" i="1"/>
  <c r="AH93" i="1" s="1"/>
  <c r="AE59" i="1"/>
  <c r="AE187" i="1"/>
  <c r="AE134" i="1"/>
  <c r="AH132" i="1"/>
  <c r="AH134" i="1" s="1"/>
  <c r="AE52" i="1"/>
  <c r="AH50" i="1"/>
  <c r="AH52" i="1" s="1"/>
  <c r="AE221" i="1"/>
  <c r="AH218" i="1"/>
  <c r="AH221" i="1" s="1"/>
  <c r="AE142" i="1"/>
  <c r="AH140" i="1"/>
  <c r="AH142" i="1" s="1"/>
  <c r="AE122" i="1"/>
  <c r="AH120" i="1"/>
  <c r="AH122" i="1" s="1"/>
  <c r="CB308" i="1" l="1"/>
  <c r="AZ236" i="1"/>
  <c r="BM236" i="1" s="1"/>
  <c r="CB236" i="1" s="1"/>
  <c r="BV65" i="1"/>
  <c r="BV125" i="1"/>
  <c r="BV16" i="1"/>
  <c r="BV219" i="1"/>
  <c r="BV103" i="1"/>
  <c r="CB103" i="1" s="1"/>
  <c r="BV29" i="1"/>
  <c r="BV149" i="1"/>
  <c r="BV130" i="1"/>
  <c r="BV52" i="1"/>
  <c r="BV194" i="1"/>
  <c r="BV23" i="1"/>
  <c r="BV77" i="1"/>
  <c r="BV54" i="1"/>
  <c r="CB54" i="1" s="1"/>
  <c r="BV220" i="1"/>
  <c r="BV98" i="1"/>
  <c r="BV58" i="1"/>
  <c r="CB58" i="1" s="1"/>
  <c r="BV153" i="1"/>
  <c r="BV152" i="1"/>
  <c r="BV25" i="1"/>
  <c r="BV234" i="1"/>
  <c r="BV42" i="1"/>
  <c r="BV154" i="1"/>
  <c r="BV35" i="1"/>
  <c r="CB35" i="1" s="1"/>
  <c r="BV93" i="1"/>
  <c r="BV133" i="1"/>
  <c r="BV121" i="1"/>
  <c r="CB121" i="1" s="1"/>
  <c r="BV106" i="1"/>
  <c r="BV81" i="1"/>
  <c r="CB81" i="1" s="1"/>
  <c r="BV68" i="1"/>
  <c r="BV71" i="1"/>
  <c r="BV116" i="1"/>
  <c r="BV18" i="1"/>
  <c r="BV109" i="1"/>
  <c r="BV148" i="1"/>
  <c r="BV151" i="1"/>
  <c r="BV268" i="1"/>
  <c r="BV308" i="1"/>
  <c r="AZ249" i="1"/>
  <c r="BM249" i="1" s="1"/>
  <c r="CB249" i="1" s="1"/>
  <c r="CB253" i="1" s="1"/>
  <c r="AN168" i="1"/>
  <c r="BE87" i="1"/>
  <c r="AR14" i="1"/>
  <c r="AV262" i="1"/>
  <c r="BV191" i="1"/>
  <c r="BR255" i="1"/>
  <c r="BR270" i="1"/>
  <c r="BR136" i="1"/>
  <c r="BR150" i="1"/>
  <c r="BR86" i="1"/>
  <c r="BV86" i="1" s="1"/>
  <c r="BR244" i="1"/>
  <c r="BR259" i="1"/>
  <c r="BR294" i="1"/>
  <c r="BR175" i="1"/>
  <c r="BR216" i="1"/>
  <c r="BV216" i="1" s="1"/>
  <c r="CB216" i="1" s="1"/>
  <c r="BR296" i="1"/>
  <c r="BR297" i="1"/>
  <c r="BR232" i="1"/>
  <c r="BR119" i="1"/>
  <c r="BR87" i="1"/>
  <c r="BR257" i="1"/>
  <c r="BR20" i="1"/>
  <c r="BR12" i="1"/>
  <c r="BR112" i="1"/>
  <c r="BR155" i="1"/>
  <c r="BR243" i="1"/>
  <c r="BR41" i="1"/>
  <c r="BR201" i="1"/>
  <c r="BR129" i="1"/>
  <c r="BR211" i="1"/>
  <c r="BR246" i="1"/>
  <c r="BR95" i="1"/>
  <c r="BR128" i="1"/>
  <c r="BR38" i="1"/>
  <c r="BR251" i="1"/>
  <c r="BR141" i="1"/>
  <c r="BR145" i="1"/>
  <c r="BR94" i="1"/>
  <c r="BR237" i="1"/>
  <c r="BR202" i="1"/>
  <c r="BR6" i="1"/>
  <c r="BR19" i="1"/>
  <c r="BR21" i="1"/>
  <c r="BR230" i="1"/>
  <c r="BR178" i="1"/>
  <c r="BR138" i="1"/>
  <c r="BR118" i="1"/>
  <c r="BR100" i="1"/>
  <c r="BR22" i="1"/>
  <c r="BR247" i="1"/>
  <c r="BR214" i="1"/>
  <c r="AR289" i="1"/>
  <c r="AZ14" i="1"/>
  <c r="BM14" i="1" s="1"/>
  <c r="CB14" i="1" s="1"/>
  <c r="CB16" i="1" s="1"/>
  <c r="BR209" i="1"/>
  <c r="BM253" i="1"/>
  <c r="BR249" i="1"/>
  <c r="BM286" i="1"/>
  <c r="BR272" i="1"/>
  <c r="BV272" i="1" s="1"/>
  <c r="CB272" i="1" s="1"/>
  <c r="CB286" i="1" s="1"/>
  <c r="CB288" i="1" s="1"/>
  <c r="BM49" i="1"/>
  <c r="BR46" i="1"/>
  <c r="BT78" i="1"/>
  <c r="BR78" i="1"/>
  <c r="BM238" i="1"/>
  <c r="BR236" i="1"/>
  <c r="BM308" i="1"/>
  <c r="BM260" i="1"/>
  <c r="AJ135" i="1"/>
  <c r="AJ223" i="1"/>
  <c r="AJ240" i="1"/>
  <c r="AH240" i="1"/>
  <c r="AV240" i="1"/>
  <c r="AZ222" i="1"/>
  <c r="BM222" i="1" s="1"/>
  <c r="CB222" i="1" s="1"/>
  <c r="AH135" i="1"/>
  <c r="AJ262" i="1"/>
  <c r="AV185" i="1"/>
  <c r="AH89" i="1"/>
  <c r="AZ239" i="1"/>
  <c r="BM239" i="1" s="1"/>
  <c r="CB239" i="1" s="1"/>
  <c r="AH185" i="1"/>
  <c r="AJ89" i="1"/>
  <c r="AJ185" i="1"/>
  <c r="AV89" i="1"/>
  <c r="AV135" i="1"/>
  <c r="AZ308" i="1"/>
  <c r="AR263" i="1"/>
  <c r="AR265" i="1" s="1"/>
  <c r="BE19" i="1"/>
  <c r="BE244" i="1"/>
  <c r="BE141" i="1"/>
  <c r="BE259" i="1"/>
  <c r="BE9" i="1"/>
  <c r="BM9" i="1"/>
  <c r="BE41" i="1"/>
  <c r="BE100" i="1"/>
  <c r="BE129" i="1"/>
  <c r="BE211" i="1"/>
  <c r="BE255" i="1"/>
  <c r="BE20" i="1"/>
  <c r="BE12" i="1"/>
  <c r="BE21" i="1"/>
  <c r="BE112" i="1"/>
  <c r="BE178" i="1"/>
  <c r="BE175" i="1"/>
  <c r="BE22" i="1"/>
  <c r="BE237" i="1"/>
  <c r="BE232" i="1"/>
  <c r="BE202" i="1"/>
  <c r="BD92" i="1"/>
  <c r="BL92" i="1"/>
  <c r="BE270" i="1"/>
  <c r="BE136" i="1"/>
  <c r="BE155" i="1"/>
  <c r="BE138" i="1"/>
  <c r="BE243" i="1"/>
  <c r="BE145" i="1"/>
  <c r="BE216" i="1"/>
  <c r="BE94" i="1"/>
  <c r="BE150" i="1"/>
  <c r="BE128" i="1"/>
  <c r="BE38" i="1"/>
  <c r="BE251" i="1"/>
  <c r="BE201" i="1"/>
  <c r="BE247" i="1"/>
  <c r="BE214" i="1"/>
  <c r="BE246" i="1"/>
  <c r="AR159" i="1"/>
  <c r="AN16" i="1"/>
  <c r="BA92" i="1"/>
  <c r="AR5" i="1"/>
  <c r="AZ5" i="1" s="1"/>
  <c r="BM5" i="1" s="1"/>
  <c r="AR83" i="1"/>
  <c r="AR85" i="1" s="1"/>
  <c r="AN85" i="1"/>
  <c r="AR147" i="1"/>
  <c r="AZ147" i="1" s="1"/>
  <c r="BM147" i="1" s="1"/>
  <c r="AR17" i="1"/>
  <c r="AZ17" i="1" s="1"/>
  <c r="AR30" i="1"/>
  <c r="AR33" i="1" s="1"/>
  <c r="AZ166" i="1"/>
  <c r="AR11" i="1"/>
  <c r="AR13" i="1" s="1"/>
  <c r="AZ80" i="1"/>
  <c r="BM80" i="1" s="1"/>
  <c r="CB80" i="1" s="1"/>
  <c r="CB82" i="1" s="1"/>
  <c r="AZ254" i="1"/>
  <c r="BM254" i="1" s="1"/>
  <c r="CB254" i="1" s="1"/>
  <c r="CB256" i="1" s="1"/>
  <c r="AR233" i="1"/>
  <c r="AZ233" i="1" s="1"/>
  <c r="BM233" i="1" s="1"/>
  <c r="BE249" i="1"/>
  <c r="AZ253" i="1"/>
  <c r="BE257" i="1"/>
  <c r="AZ260" i="1"/>
  <c r="BE46" i="1"/>
  <c r="BE49" i="1" s="1"/>
  <c r="AZ49" i="1"/>
  <c r="BE14" i="1"/>
  <c r="BE230" i="1"/>
  <c r="BE296" i="1"/>
  <c r="BE209" i="1"/>
  <c r="BE236" i="1"/>
  <c r="AZ238" i="1"/>
  <c r="AZ186" i="1"/>
  <c r="BM186" i="1" s="1"/>
  <c r="CB186" i="1" s="1"/>
  <c r="CB187" i="1" s="1"/>
  <c r="BE297" i="1"/>
  <c r="BE119" i="1"/>
  <c r="BE239" i="1"/>
  <c r="AZ226" i="1"/>
  <c r="BM226" i="1" s="1"/>
  <c r="CB226" i="1" s="1"/>
  <c r="AZ227" i="1"/>
  <c r="BM227" i="1" s="1"/>
  <c r="CB227" i="1" s="1"/>
  <c r="BE272" i="1"/>
  <c r="AZ286" i="1"/>
  <c r="AZ288" i="1" s="1"/>
  <c r="AZ289" i="1"/>
  <c r="BM289" i="1" s="1"/>
  <c r="CB289" i="1" s="1"/>
  <c r="CB290" i="1" s="1"/>
  <c r="BE95" i="1"/>
  <c r="BE86" i="1"/>
  <c r="BE118" i="1"/>
  <c r="BE294" i="1"/>
  <c r="AZ188" i="1"/>
  <c r="BM188" i="1" s="1"/>
  <c r="CB188" i="1" s="1"/>
  <c r="CB191" i="1" s="1"/>
  <c r="AZ27" i="1"/>
  <c r="BM27" i="1" s="1"/>
  <c r="CB27" i="1" s="1"/>
  <c r="CB29" i="1" s="1"/>
  <c r="AZ266" i="1"/>
  <c r="BM266" i="1" s="1"/>
  <c r="AR168" i="1"/>
  <c r="AV187" i="1"/>
  <c r="AV223" i="1" s="1"/>
  <c r="Y310" i="1"/>
  <c r="AR29" i="1"/>
  <c r="AE271" i="1"/>
  <c r="AR191" i="1"/>
  <c r="AR260" i="1"/>
  <c r="AR49" i="1"/>
  <c r="AR16" i="1"/>
  <c r="AR82" i="1"/>
  <c r="AR256" i="1"/>
  <c r="AR253" i="1"/>
  <c r="AR238" i="1"/>
  <c r="AR286" i="1"/>
  <c r="AR290" i="1"/>
  <c r="AR137" i="1"/>
  <c r="AZ137" i="1" s="1"/>
  <c r="BM137" i="1" s="1"/>
  <c r="CB137" i="1" s="1"/>
  <c r="CB139" i="1" s="1"/>
  <c r="AR53" i="1"/>
  <c r="AZ53" i="1" s="1"/>
  <c r="BM53" i="1" s="1"/>
  <c r="CB53" i="1" s="1"/>
  <c r="CB56" i="1" s="1"/>
  <c r="AR50" i="1"/>
  <c r="AE262" i="1"/>
  <c r="AR76" i="1"/>
  <c r="AZ76" i="1" s="1"/>
  <c r="BM76" i="1" s="1"/>
  <c r="AR267" i="1"/>
  <c r="AZ267" i="1" s="1"/>
  <c r="BM267" i="1" s="1"/>
  <c r="AR181" i="1"/>
  <c r="AR108" i="1"/>
  <c r="AZ108" i="1" s="1"/>
  <c r="BM108" i="1" s="1"/>
  <c r="CB108" i="1" s="1"/>
  <c r="AR171" i="1"/>
  <c r="AZ171" i="1" s="1"/>
  <c r="BM171" i="1" s="1"/>
  <c r="CB171" i="1" s="1"/>
  <c r="CB174" i="1" s="1"/>
  <c r="AR34" i="1"/>
  <c r="AR96" i="1"/>
  <c r="AR66" i="1"/>
  <c r="AZ66" i="1" s="1"/>
  <c r="BM66" i="1" s="1"/>
  <c r="CB66" i="1" s="1"/>
  <c r="CB68" i="1" s="1"/>
  <c r="AR111" i="1"/>
  <c r="AR115" i="1"/>
  <c r="AR132" i="1"/>
  <c r="AR72" i="1"/>
  <c r="AR91" i="1"/>
  <c r="AR177" i="1"/>
  <c r="AZ177" i="1" s="1"/>
  <c r="BM177" i="1" s="1"/>
  <c r="CB177" i="1" s="1"/>
  <c r="CB179" i="1" s="1"/>
  <c r="AR8" i="1"/>
  <c r="AZ8" i="1" s="1"/>
  <c r="BM8" i="1" s="1"/>
  <c r="CB8" i="1" s="1"/>
  <c r="AR60" i="1"/>
  <c r="AR261" i="1"/>
  <c r="AR63" i="1"/>
  <c r="AH262" i="1"/>
  <c r="AR40" i="1"/>
  <c r="AZ40" i="1" s="1"/>
  <c r="BM40" i="1" s="1"/>
  <c r="AR99" i="1"/>
  <c r="AR102" i="1"/>
  <c r="AZ102" i="1" s="1"/>
  <c r="BM102" i="1" s="1"/>
  <c r="CB102" i="1" s="1"/>
  <c r="CB104" i="1" s="1"/>
  <c r="AR57" i="1"/>
  <c r="AZ57" i="1" s="1"/>
  <c r="BM57" i="1" s="1"/>
  <c r="CB57" i="1" s="1"/>
  <c r="CB59" i="1" s="1"/>
  <c r="AR69" i="1"/>
  <c r="AZ69" i="1" s="1"/>
  <c r="BM69" i="1" s="1"/>
  <c r="CB69" i="1" s="1"/>
  <c r="CB71" i="1" s="1"/>
  <c r="AR162" i="1"/>
  <c r="AR193" i="1"/>
  <c r="AR241" i="1"/>
  <c r="AZ241" i="1" s="1"/>
  <c r="BM241" i="1" s="1"/>
  <c r="CB241" i="1" s="1"/>
  <c r="CB248" i="1" s="1"/>
  <c r="AR120" i="1"/>
  <c r="AZ120" i="1" s="1"/>
  <c r="BM120" i="1" s="1"/>
  <c r="CB120" i="1" s="1"/>
  <c r="CB122" i="1" s="1"/>
  <c r="AR215" i="1"/>
  <c r="AR143" i="1"/>
  <c r="AZ143" i="1" s="1"/>
  <c r="BM143" i="1" s="1"/>
  <c r="CB143" i="1" s="1"/>
  <c r="CB146" i="1" s="1"/>
  <c r="AR199" i="1"/>
  <c r="AZ199" i="1" s="1"/>
  <c r="BM199" i="1" s="1"/>
  <c r="CB199" i="1" s="1"/>
  <c r="CB205" i="1" s="1"/>
  <c r="AR228" i="1"/>
  <c r="AR140" i="1"/>
  <c r="AZ140" i="1" s="1"/>
  <c r="BM140" i="1" s="1"/>
  <c r="CB140" i="1" s="1"/>
  <c r="CB142" i="1" s="1"/>
  <c r="AR218" i="1"/>
  <c r="AR105" i="1"/>
  <c r="AZ105" i="1" s="1"/>
  <c r="BM105" i="1" s="1"/>
  <c r="AR37" i="1"/>
  <c r="AZ37" i="1" s="1"/>
  <c r="BM37" i="1" s="1"/>
  <c r="CB37" i="1" s="1"/>
  <c r="AR210" i="1"/>
  <c r="AR123" i="1"/>
  <c r="AN269" i="1"/>
  <c r="AN271" i="1" s="1"/>
  <c r="AN93" i="1"/>
  <c r="AN117" i="1"/>
  <c r="AN39" i="1"/>
  <c r="AN125" i="1"/>
  <c r="AN101" i="1"/>
  <c r="AN156" i="1"/>
  <c r="AN256" i="1"/>
  <c r="AN110" i="1"/>
  <c r="AN36" i="1"/>
  <c r="AN68" i="1"/>
  <c r="AN10" i="1"/>
  <c r="AN79" i="1"/>
  <c r="AN184" i="1"/>
  <c r="AN104" i="1"/>
  <c r="AN24" i="1"/>
  <c r="AN26" i="1" s="1"/>
  <c r="AN221" i="1"/>
  <c r="AN59" i="1"/>
  <c r="AN71" i="1"/>
  <c r="AN195" i="1"/>
  <c r="AN122" i="1"/>
  <c r="AN146" i="1"/>
  <c r="AN235" i="1"/>
  <c r="AN240" i="1" s="1"/>
  <c r="AN213" i="1"/>
  <c r="AN142" i="1"/>
  <c r="AE26" i="1"/>
  <c r="AE89" i="1" s="1"/>
  <c r="AN164" i="1"/>
  <c r="AN13" i="1"/>
  <c r="AN139" i="1"/>
  <c r="AN7" i="1"/>
  <c r="AN134" i="1"/>
  <c r="AN43" i="1"/>
  <c r="AN52" i="1"/>
  <c r="AN179" i="1"/>
  <c r="AN82" i="1"/>
  <c r="AN160" i="1"/>
  <c r="AN174" i="1"/>
  <c r="AN98" i="1"/>
  <c r="AN248" i="1"/>
  <c r="AN113" i="1"/>
  <c r="AN217" i="1"/>
  <c r="AN253" i="1"/>
  <c r="AN107" i="1"/>
  <c r="AN65" i="1"/>
  <c r="AH187" i="1"/>
  <c r="AH223" i="1" s="1"/>
  <c r="AE185" i="1"/>
  <c r="AE135" i="1"/>
  <c r="AE223" i="1"/>
  <c r="G308" i="1"/>
  <c r="G310" i="1" s="1"/>
  <c r="CB148" i="1" l="1"/>
  <c r="CB154" i="1"/>
  <c r="CB152" i="1"/>
  <c r="CB23" i="1"/>
  <c r="CB130" i="1"/>
  <c r="CB228" i="1"/>
  <c r="CB109" i="1"/>
  <c r="CB106" i="1"/>
  <c r="CB42" i="1"/>
  <c r="CB153" i="1"/>
  <c r="CB220" i="1"/>
  <c r="CB194" i="1"/>
  <c r="CB149" i="1"/>
  <c r="CB219" i="1"/>
  <c r="CB268" i="1"/>
  <c r="CB18" i="1"/>
  <c r="CB234" i="1"/>
  <c r="CB110" i="1"/>
  <c r="CB151" i="1"/>
  <c r="CB116" i="1"/>
  <c r="CB133" i="1"/>
  <c r="CB25" i="1"/>
  <c r="CB77" i="1"/>
  <c r="CB86" i="1"/>
  <c r="BV78" i="1"/>
  <c r="BV100" i="1"/>
  <c r="BV6" i="1"/>
  <c r="BV128" i="1"/>
  <c r="BV20" i="1"/>
  <c r="BV22" i="1"/>
  <c r="BV19" i="1"/>
  <c r="BV94" i="1"/>
  <c r="BV38" i="1"/>
  <c r="CB38" i="1" s="1"/>
  <c r="CB39" i="1" s="1"/>
  <c r="BV41" i="1"/>
  <c r="BV12" i="1"/>
  <c r="BV82" i="1"/>
  <c r="BV122" i="1"/>
  <c r="BV36" i="1"/>
  <c r="BV56" i="1"/>
  <c r="BV104" i="1"/>
  <c r="BV21" i="1"/>
  <c r="BV237" i="1"/>
  <c r="CB237" i="1" s="1"/>
  <c r="CB238" i="1" s="1"/>
  <c r="BV112" i="1"/>
  <c r="CB112" i="1" s="1"/>
  <c r="BV150" i="1"/>
  <c r="BV95" i="1"/>
  <c r="BV155" i="1"/>
  <c r="BV59" i="1"/>
  <c r="BV142" i="1"/>
  <c r="BV179" i="1"/>
  <c r="BR308" i="1"/>
  <c r="BR260" i="1"/>
  <c r="AV310" i="1"/>
  <c r="BE222" i="1"/>
  <c r="BV256" i="1"/>
  <c r="BV260" i="1"/>
  <c r="BR37" i="1"/>
  <c r="BR39" i="1" s="1"/>
  <c r="BV209" i="1"/>
  <c r="BR266" i="1"/>
  <c r="BV266" i="1" s="1"/>
  <c r="BR226" i="1"/>
  <c r="BR9" i="1"/>
  <c r="BV9" i="1" s="1"/>
  <c r="CB9" i="1" s="1"/>
  <c r="CB10" i="1" s="1"/>
  <c r="BR222" i="1"/>
  <c r="BM16" i="1"/>
  <c r="BR8" i="1"/>
  <c r="BR227" i="1"/>
  <c r="BR239" i="1"/>
  <c r="AZ263" i="1"/>
  <c r="AZ265" i="1" s="1"/>
  <c r="BR14" i="1"/>
  <c r="BR16" i="1" s="1"/>
  <c r="BV228" i="1"/>
  <c r="AR7" i="1"/>
  <c r="AZ83" i="1"/>
  <c r="BM83" i="1" s="1"/>
  <c r="AZ16" i="1"/>
  <c r="BT79" i="1"/>
  <c r="BR238" i="1"/>
  <c r="BR49" i="1"/>
  <c r="BR286" i="1"/>
  <c r="BR253" i="1"/>
  <c r="BE253" i="1"/>
  <c r="BM146" i="1"/>
  <c r="BR143" i="1"/>
  <c r="BM122" i="1"/>
  <c r="BR120" i="1"/>
  <c r="BM71" i="1"/>
  <c r="BR69" i="1"/>
  <c r="BM104" i="1"/>
  <c r="BR102" i="1"/>
  <c r="BM43" i="1"/>
  <c r="BR40" i="1"/>
  <c r="BM179" i="1"/>
  <c r="BR177" i="1"/>
  <c r="BM68" i="1"/>
  <c r="BR66" i="1"/>
  <c r="BM110" i="1"/>
  <c r="BR108" i="1"/>
  <c r="BM269" i="1"/>
  <c r="BR267" i="1"/>
  <c r="BV267" i="1" s="1"/>
  <c r="BM56" i="1"/>
  <c r="BR53" i="1"/>
  <c r="BM290" i="1"/>
  <c r="BR289" i="1"/>
  <c r="BM256" i="1"/>
  <c r="BR254" i="1"/>
  <c r="BM156" i="1"/>
  <c r="BR147" i="1"/>
  <c r="BV147" i="1" s="1"/>
  <c r="CB147" i="1" s="1"/>
  <c r="BM7" i="1"/>
  <c r="BR5" i="1"/>
  <c r="BV5" i="1" s="1"/>
  <c r="CB5" i="1" s="1"/>
  <c r="BM288" i="1"/>
  <c r="BM107" i="1"/>
  <c r="BR105" i="1"/>
  <c r="BV105" i="1" s="1"/>
  <c r="BM142" i="1"/>
  <c r="BR140" i="1"/>
  <c r="BM205" i="1"/>
  <c r="BR199" i="1"/>
  <c r="BM248" i="1"/>
  <c r="BR241" i="1"/>
  <c r="BM59" i="1"/>
  <c r="BR57" i="1"/>
  <c r="BM174" i="1"/>
  <c r="BR171" i="1"/>
  <c r="BM79" i="1"/>
  <c r="BR76" i="1"/>
  <c r="BV76" i="1" s="1"/>
  <c r="CB76" i="1" s="1"/>
  <c r="BM139" i="1"/>
  <c r="BR137" i="1"/>
  <c r="BM29" i="1"/>
  <c r="BR27" i="1"/>
  <c r="BM191" i="1"/>
  <c r="BR188" i="1"/>
  <c r="BM187" i="1"/>
  <c r="BR186" i="1"/>
  <c r="BM235" i="1"/>
  <c r="BR233" i="1"/>
  <c r="BV233" i="1" s="1"/>
  <c r="CB233" i="1" s="1"/>
  <c r="CB235" i="1" s="1"/>
  <c r="BM82" i="1"/>
  <c r="BR80" i="1"/>
  <c r="BN92" i="1"/>
  <c r="BQ92" i="1"/>
  <c r="BU92" i="1" s="1"/>
  <c r="CA92" i="1" s="1"/>
  <c r="BM39" i="1"/>
  <c r="BN37" i="1"/>
  <c r="BE166" i="1"/>
  <c r="BE168" i="1" s="1"/>
  <c r="BM166" i="1"/>
  <c r="CB166" i="1" s="1"/>
  <c r="CB168" i="1" s="1"/>
  <c r="AZ24" i="1"/>
  <c r="AZ26" i="1" s="1"/>
  <c r="BM17" i="1"/>
  <c r="BM228" i="1"/>
  <c r="AJ310" i="1"/>
  <c r="AZ11" i="1"/>
  <c r="BM11" i="1" s="1"/>
  <c r="AZ159" i="1"/>
  <c r="BM159" i="1" s="1"/>
  <c r="CB159" i="1" s="1"/>
  <c r="CB160" i="1" s="1"/>
  <c r="BE308" i="1"/>
  <c r="AN185" i="1"/>
  <c r="AN262" i="1"/>
  <c r="AN135" i="1"/>
  <c r="AN223" i="1"/>
  <c r="AH310" i="1"/>
  <c r="AN89" i="1"/>
  <c r="BM10" i="1"/>
  <c r="AR160" i="1"/>
  <c r="AR156" i="1"/>
  <c r="BE227" i="1"/>
  <c r="AZ168" i="1"/>
  <c r="BE233" i="1"/>
  <c r="BE235" i="1" s="1"/>
  <c r="AZ256" i="1"/>
  <c r="BE80" i="1"/>
  <c r="BE17" i="1"/>
  <c r="BE24" i="1" s="1"/>
  <c r="BE26" i="1" s="1"/>
  <c r="AZ82" i="1"/>
  <c r="AR24" i="1"/>
  <c r="AR26" i="1" s="1"/>
  <c r="AR235" i="1"/>
  <c r="AR240" i="1" s="1"/>
  <c r="AZ72" i="1"/>
  <c r="BM72" i="1" s="1"/>
  <c r="CB72" i="1" s="1"/>
  <c r="CB75" i="1" s="1"/>
  <c r="AR75" i="1"/>
  <c r="AZ60" i="1"/>
  <c r="BM60" i="1" s="1"/>
  <c r="CB60" i="1" s="1"/>
  <c r="CB62" i="1" s="1"/>
  <c r="AR62" i="1"/>
  <c r="BE254" i="1"/>
  <c r="BE256" i="1" s="1"/>
  <c r="BE263" i="1"/>
  <c r="BE265" i="1" s="1"/>
  <c r="AZ235" i="1"/>
  <c r="AZ30" i="1"/>
  <c r="BM30" i="1" s="1"/>
  <c r="CB30" i="1" s="1"/>
  <c r="CB33" i="1" s="1"/>
  <c r="AZ123" i="1"/>
  <c r="BM123" i="1" s="1"/>
  <c r="CB123" i="1" s="1"/>
  <c r="CB125" i="1" s="1"/>
  <c r="AZ218" i="1"/>
  <c r="BM218" i="1" s="1"/>
  <c r="BE143" i="1"/>
  <c r="AZ146" i="1"/>
  <c r="AZ193" i="1"/>
  <c r="BM193" i="1" s="1"/>
  <c r="BE102" i="1"/>
  <c r="BE104" i="1" s="1"/>
  <c r="AZ104" i="1"/>
  <c r="AZ63" i="1"/>
  <c r="BM63" i="1" s="1"/>
  <c r="CB63" i="1" s="1"/>
  <c r="CB65" i="1" s="1"/>
  <c r="AZ132" i="1"/>
  <c r="BM132" i="1" s="1"/>
  <c r="AZ96" i="1"/>
  <c r="BM96" i="1" s="1"/>
  <c r="CB96" i="1" s="1"/>
  <c r="CB98" i="1" s="1"/>
  <c r="AZ181" i="1"/>
  <c r="BM181" i="1" s="1"/>
  <c r="CB181" i="1" s="1"/>
  <c r="CB184" i="1" s="1"/>
  <c r="AZ50" i="1"/>
  <c r="BM50" i="1" s="1"/>
  <c r="CB50" i="1" s="1"/>
  <c r="CB52" i="1" s="1"/>
  <c r="BE27" i="1"/>
  <c r="AZ29" i="1"/>
  <c r="BE83" i="1"/>
  <c r="BE85" i="1" s="1"/>
  <c r="BE238" i="1"/>
  <c r="BE5" i="1"/>
  <c r="AZ7" i="1"/>
  <c r="BE16" i="1"/>
  <c r="BE82" i="1"/>
  <c r="BE105" i="1"/>
  <c r="AZ107" i="1"/>
  <c r="BE199" i="1"/>
  <c r="BE205" i="1" s="1"/>
  <c r="AZ205" i="1"/>
  <c r="BE241" i="1"/>
  <c r="AZ248" i="1"/>
  <c r="BE57" i="1"/>
  <c r="AZ59" i="1"/>
  <c r="BE8" i="1"/>
  <c r="BE10" i="1" s="1"/>
  <c r="AZ10" i="1"/>
  <c r="BE66" i="1"/>
  <c r="AZ68" i="1"/>
  <c r="BE108" i="1"/>
  <c r="AZ110" i="1"/>
  <c r="BE137" i="1"/>
  <c r="BE139" i="1" s="1"/>
  <c r="AZ139" i="1"/>
  <c r="BE147" i="1"/>
  <c r="AZ156" i="1"/>
  <c r="BE289" i="1"/>
  <c r="AZ290" i="1"/>
  <c r="BE226" i="1"/>
  <c r="AZ228" i="1"/>
  <c r="BE260" i="1"/>
  <c r="BE37" i="1"/>
  <c r="BE39" i="1" s="1"/>
  <c r="AZ39" i="1"/>
  <c r="BE120" i="1"/>
  <c r="AZ122" i="1"/>
  <c r="BE40" i="1"/>
  <c r="AZ43" i="1"/>
  <c r="AZ91" i="1"/>
  <c r="BM91" i="1" s="1"/>
  <c r="CB91" i="1" s="1"/>
  <c r="CB93" i="1" s="1"/>
  <c r="BE171" i="1"/>
  <c r="AZ174" i="1"/>
  <c r="BE76" i="1"/>
  <c r="AZ79" i="1"/>
  <c r="BE53" i="1"/>
  <c r="AZ56" i="1"/>
  <c r="BE266" i="1"/>
  <c r="BE188" i="1"/>
  <c r="AZ191" i="1"/>
  <c r="BE286" i="1"/>
  <c r="BE288" i="1" s="1"/>
  <c r="BE69" i="1"/>
  <c r="BE71" i="1" s="1"/>
  <c r="AZ71" i="1"/>
  <c r="AZ111" i="1"/>
  <c r="BM111" i="1" s="1"/>
  <c r="CB111" i="1" s="1"/>
  <c r="AZ210" i="1"/>
  <c r="BM210" i="1" s="1"/>
  <c r="CB210" i="1" s="1"/>
  <c r="CB213" i="1" s="1"/>
  <c r="BE140" i="1"/>
  <c r="BE142" i="1" s="1"/>
  <c r="AZ142" i="1"/>
  <c r="AZ215" i="1"/>
  <c r="BM215" i="1" s="1"/>
  <c r="CB215" i="1" s="1"/>
  <c r="CB217" i="1" s="1"/>
  <c r="AZ162" i="1"/>
  <c r="BM162" i="1" s="1"/>
  <c r="CB162" i="1" s="1"/>
  <c r="CB164" i="1" s="1"/>
  <c r="AZ99" i="1"/>
  <c r="BM99" i="1" s="1"/>
  <c r="AZ261" i="1"/>
  <c r="BM261" i="1" s="1"/>
  <c r="CB261" i="1" s="1"/>
  <c r="CB262" i="1" s="1"/>
  <c r="BE177" i="1"/>
  <c r="BE179" i="1" s="1"/>
  <c r="AZ179" i="1"/>
  <c r="AZ115" i="1"/>
  <c r="BM115" i="1" s="1"/>
  <c r="CB115" i="1" s="1"/>
  <c r="CB117" i="1" s="1"/>
  <c r="AZ34" i="1"/>
  <c r="BM34" i="1" s="1"/>
  <c r="CB34" i="1" s="1"/>
  <c r="CB36" i="1" s="1"/>
  <c r="BE267" i="1"/>
  <c r="AZ269" i="1"/>
  <c r="AZ271" i="1" s="1"/>
  <c r="BE186" i="1"/>
  <c r="AZ187" i="1"/>
  <c r="AE310" i="1"/>
  <c r="AR56" i="1"/>
  <c r="AR213" i="1"/>
  <c r="AR142" i="1"/>
  <c r="AR217" i="1"/>
  <c r="AR164" i="1"/>
  <c r="AR101" i="1"/>
  <c r="AR65" i="1"/>
  <c r="AR134" i="1"/>
  <c r="AR98" i="1"/>
  <c r="AR184" i="1"/>
  <c r="AR52" i="1"/>
  <c r="AR125" i="1"/>
  <c r="AR221" i="1"/>
  <c r="AR146" i="1"/>
  <c r="AR195" i="1"/>
  <c r="AR104" i="1"/>
  <c r="AR10" i="1"/>
  <c r="AR68" i="1"/>
  <c r="AR110" i="1"/>
  <c r="AR139" i="1"/>
  <c r="AR288" i="1"/>
  <c r="AR107" i="1"/>
  <c r="AR205" i="1"/>
  <c r="AR248" i="1"/>
  <c r="AR262" i="1" s="1"/>
  <c r="AR59" i="1"/>
  <c r="AR93" i="1"/>
  <c r="AR113" i="1"/>
  <c r="AR174" i="1"/>
  <c r="AR79" i="1"/>
  <c r="AR39" i="1"/>
  <c r="AR122" i="1"/>
  <c r="AR71" i="1"/>
  <c r="AR43" i="1"/>
  <c r="AR179" i="1"/>
  <c r="AR117" i="1"/>
  <c r="AR36" i="1"/>
  <c r="AR269" i="1"/>
  <c r="I308" i="1"/>
  <c r="I310" i="1" s="1"/>
  <c r="J308" i="1"/>
  <c r="K308" i="1"/>
  <c r="L308" i="1"/>
  <c r="N308" i="1"/>
  <c r="O308" i="1"/>
  <c r="P308" i="1"/>
  <c r="S308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M292" i="1"/>
  <c r="M293" i="1"/>
  <c r="M294" i="1"/>
  <c r="M295" i="1"/>
  <c r="M296" i="1"/>
  <c r="M297" i="1"/>
  <c r="M298" i="1"/>
  <c r="M299" i="1"/>
  <c r="R299" i="1" s="1"/>
  <c r="X299" i="1" s="1"/>
  <c r="AD299" i="1" s="1"/>
  <c r="M300" i="1"/>
  <c r="M301" i="1"/>
  <c r="M302" i="1"/>
  <c r="M291" i="1"/>
  <c r="R291" i="1" s="1"/>
  <c r="X291" i="1" s="1"/>
  <c r="AD291" i="1" s="1"/>
  <c r="CB240" i="1" l="1"/>
  <c r="CB113" i="1"/>
  <c r="CB155" i="1"/>
  <c r="CB100" i="1"/>
  <c r="CB267" i="1"/>
  <c r="CB269" i="1" s="1"/>
  <c r="CB95" i="1"/>
  <c r="CB21" i="1"/>
  <c r="CB94" i="1"/>
  <c r="CB20" i="1"/>
  <c r="CB78" i="1"/>
  <c r="CB79" i="1" s="1"/>
  <c r="BM85" i="1"/>
  <c r="CB150" i="1"/>
  <c r="CB156" i="1" s="1"/>
  <c r="CB185" i="1" s="1"/>
  <c r="CB12" i="1"/>
  <c r="CB19" i="1"/>
  <c r="CB128" i="1"/>
  <c r="CB266" i="1"/>
  <c r="CB41" i="1"/>
  <c r="CB22" i="1"/>
  <c r="CB6" i="1"/>
  <c r="CB7" i="1" s="1"/>
  <c r="CB105" i="1"/>
  <c r="CB107" i="1" s="1"/>
  <c r="BV235" i="1"/>
  <c r="BV113" i="1"/>
  <c r="BV156" i="1"/>
  <c r="BR43" i="1"/>
  <c r="BV40" i="1"/>
  <c r="CB40" i="1" s="1"/>
  <c r="BV10" i="1"/>
  <c r="BV39" i="1"/>
  <c r="BV79" i="1"/>
  <c r="BV238" i="1"/>
  <c r="BV7" i="1"/>
  <c r="BE11" i="1"/>
  <c r="BE13" i="1" s="1"/>
  <c r="BR228" i="1"/>
  <c r="BE60" i="1"/>
  <c r="BE62" i="1" s="1"/>
  <c r="BM263" i="1"/>
  <c r="BR10" i="1"/>
  <c r="BR83" i="1"/>
  <c r="BV83" i="1" s="1"/>
  <c r="CB83" i="1" s="1"/>
  <c r="CB85" i="1" s="1"/>
  <c r="BM134" i="1"/>
  <c r="BV253" i="1"/>
  <c r="BV286" i="1"/>
  <c r="BV288" i="1" s="1"/>
  <c r="BE159" i="1"/>
  <c r="BE160" i="1" s="1"/>
  <c r="AZ13" i="1"/>
  <c r="AZ85" i="1"/>
  <c r="BR7" i="1"/>
  <c r="BR156" i="1"/>
  <c r="BR256" i="1"/>
  <c r="BR290" i="1"/>
  <c r="BV290" i="1"/>
  <c r="BR56" i="1"/>
  <c r="BR269" i="1"/>
  <c r="BR110" i="1"/>
  <c r="BV110" i="1"/>
  <c r="BR68" i="1"/>
  <c r="BR179" i="1"/>
  <c r="BR104" i="1"/>
  <c r="BR71" i="1"/>
  <c r="BR122" i="1"/>
  <c r="BR146" i="1"/>
  <c r="BR288" i="1"/>
  <c r="BR82" i="1"/>
  <c r="BR235" i="1"/>
  <c r="BR187" i="1"/>
  <c r="BR191" i="1"/>
  <c r="BR29" i="1"/>
  <c r="BR139" i="1"/>
  <c r="BR79" i="1"/>
  <c r="BR174" i="1"/>
  <c r="BR59" i="1"/>
  <c r="BR248" i="1"/>
  <c r="BR205" i="1"/>
  <c r="BR142" i="1"/>
  <c r="BR107" i="1"/>
  <c r="BM36" i="1"/>
  <c r="BR34" i="1"/>
  <c r="BM117" i="1"/>
  <c r="BR115" i="1"/>
  <c r="BM262" i="1"/>
  <c r="BR261" i="1"/>
  <c r="BM101" i="1"/>
  <c r="BR99" i="1"/>
  <c r="BV99" i="1" s="1"/>
  <c r="CB99" i="1" s="1"/>
  <c r="CB101" i="1" s="1"/>
  <c r="BM164" i="1"/>
  <c r="BR162" i="1"/>
  <c r="BM217" i="1"/>
  <c r="BR215" i="1"/>
  <c r="BM213" i="1"/>
  <c r="BR210" i="1"/>
  <c r="BM113" i="1"/>
  <c r="BR111" i="1"/>
  <c r="BM93" i="1"/>
  <c r="BR91" i="1"/>
  <c r="BM52" i="1"/>
  <c r="BR50" i="1"/>
  <c r="BM184" i="1"/>
  <c r="BR181" i="1"/>
  <c r="BM98" i="1"/>
  <c r="BR96" i="1"/>
  <c r="BR132" i="1"/>
  <c r="BV132" i="1" s="1"/>
  <c r="BM65" i="1"/>
  <c r="BR63" i="1"/>
  <c r="BM195" i="1"/>
  <c r="BR193" i="1"/>
  <c r="BV193" i="1" s="1"/>
  <c r="CB193" i="1" s="1"/>
  <c r="CB195" i="1" s="1"/>
  <c r="BM221" i="1"/>
  <c r="BR218" i="1"/>
  <c r="BV218" i="1" s="1"/>
  <c r="BM125" i="1"/>
  <c r="BR123" i="1"/>
  <c r="BM62" i="1"/>
  <c r="BR60" i="1"/>
  <c r="BM75" i="1"/>
  <c r="BR72" i="1"/>
  <c r="BM13" i="1"/>
  <c r="BR11" i="1"/>
  <c r="BV11" i="1" s="1"/>
  <c r="BM240" i="1"/>
  <c r="BM271" i="1"/>
  <c r="BM33" i="1"/>
  <c r="BR30" i="1"/>
  <c r="BM160" i="1"/>
  <c r="BR159" i="1"/>
  <c r="BM24" i="1"/>
  <c r="BR17" i="1"/>
  <c r="BV17" i="1" s="1"/>
  <c r="CB17" i="1" s="1"/>
  <c r="CB24" i="1" s="1"/>
  <c r="CB26" i="1" s="1"/>
  <c r="BM168" i="1"/>
  <c r="BR166" i="1"/>
  <c r="AZ160" i="1"/>
  <c r="AR89" i="1"/>
  <c r="AZ240" i="1"/>
  <c r="AR185" i="1"/>
  <c r="AR135" i="1"/>
  <c r="AR223" i="1"/>
  <c r="AZ262" i="1"/>
  <c r="AN310" i="1"/>
  <c r="AZ75" i="1"/>
  <c r="AZ62" i="1"/>
  <c r="AZ33" i="1"/>
  <c r="BE72" i="1"/>
  <c r="BE75" i="1" s="1"/>
  <c r="BE30" i="1"/>
  <c r="BE33" i="1" s="1"/>
  <c r="BE99" i="1"/>
  <c r="AZ101" i="1"/>
  <c r="BE215" i="1"/>
  <c r="AZ217" i="1"/>
  <c r="BE91" i="1"/>
  <c r="AZ93" i="1"/>
  <c r="BE122" i="1"/>
  <c r="BE110" i="1"/>
  <c r="BE107" i="1"/>
  <c r="BE29" i="1"/>
  <c r="BE123" i="1"/>
  <c r="BE125" i="1" s="1"/>
  <c r="AZ125" i="1"/>
  <c r="BE34" i="1"/>
  <c r="AZ36" i="1"/>
  <c r="BE111" i="1"/>
  <c r="AZ113" i="1"/>
  <c r="BE191" i="1"/>
  <c r="BE56" i="1"/>
  <c r="BE174" i="1"/>
  <c r="BE228" i="1"/>
  <c r="BE240" i="1" s="1"/>
  <c r="BE156" i="1"/>
  <c r="BE248" i="1"/>
  <c r="BE181" i="1"/>
  <c r="BE184" i="1" s="1"/>
  <c r="AZ184" i="1"/>
  <c r="BE132" i="1"/>
  <c r="AZ134" i="1"/>
  <c r="BE269" i="1"/>
  <c r="BE271" i="1" s="1"/>
  <c r="BE261" i="1"/>
  <c r="BE162" i="1"/>
  <c r="BE164" i="1" s="1"/>
  <c r="AZ164" i="1"/>
  <c r="BE43" i="1"/>
  <c r="BE68" i="1"/>
  <c r="BE7" i="1"/>
  <c r="BE193" i="1"/>
  <c r="AZ195" i="1"/>
  <c r="BE218" i="1"/>
  <c r="AZ221" i="1"/>
  <c r="BE187" i="1"/>
  <c r="BE115" i="1"/>
  <c r="AZ117" i="1"/>
  <c r="BE210" i="1"/>
  <c r="AZ213" i="1"/>
  <c r="BE79" i="1"/>
  <c r="BE290" i="1"/>
  <c r="BE59" i="1"/>
  <c r="BE50" i="1"/>
  <c r="AZ52" i="1"/>
  <c r="BE96" i="1"/>
  <c r="AZ98" i="1"/>
  <c r="BE63" i="1"/>
  <c r="BE65" i="1" s="1"/>
  <c r="AZ65" i="1"/>
  <c r="BE146" i="1"/>
  <c r="AU291" i="1"/>
  <c r="AU299" i="1"/>
  <c r="BA37" i="1"/>
  <c r="AR271" i="1"/>
  <c r="AM291" i="1"/>
  <c r="AC291" i="1"/>
  <c r="AM299" i="1"/>
  <c r="AC299" i="1"/>
  <c r="AG291" i="1"/>
  <c r="AI291" i="1"/>
  <c r="AG299" i="1"/>
  <c r="AI299" i="1"/>
  <c r="R293" i="1"/>
  <c r="X293" i="1" s="1"/>
  <c r="AD293" i="1" s="1"/>
  <c r="R300" i="1"/>
  <c r="X300" i="1" s="1"/>
  <c r="AD300" i="1" s="1"/>
  <c r="Q308" i="1"/>
  <c r="R292" i="1"/>
  <c r="X292" i="1" s="1"/>
  <c r="AD292" i="1" s="1"/>
  <c r="R294" i="1"/>
  <c r="X294" i="1" s="1"/>
  <c r="AD294" i="1" s="1"/>
  <c r="R295" i="1"/>
  <c r="X295" i="1" s="1"/>
  <c r="AD295" i="1" s="1"/>
  <c r="R298" i="1"/>
  <c r="X298" i="1" s="1"/>
  <c r="AD298" i="1" s="1"/>
  <c r="R296" i="1"/>
  <c r="X296" i="1" s="1"/>
  <c r="AD296" i="1" s="1"/>
  <c r="R302" i="1"/>
  <c r="X302" i="1" s="1"/>
  <c r="M308" i="1"/>
  <c r="R301" i="1"/>
  <c r="X301" i="1" s="1"/>
  <c r="AD301" i="1" s="1"/>
  <c r="R297" i="1"/>
  <c r="X297" i="1" s="1"/>
  <c r="AD297" i="1" s="1"/>
  <c r="BR85" i="1" l="1"/>
  <c r="CB43" i="1"/>
  <c r="CB218" i="1"/>
  <c r="CB221" i="1" s="1"/>
  <c r="CB223" i="1" s="1"/>
  <c r="CB11" i="1"/>
  <c r="CB13" i="1" s="1"/>
  <c r="BR263" i="1"/>
  <c r="BR265" i="1" s="1"/>
  <c r="CB263" i="1"/>
  <c r="CB265" i="1" s="1"/>
  <c r="CB271" i="1"/>
  <c r="CB132" i="1"/>
  <c r="CB134" i="1" s="1"/>
  <c r="CB135" i="1" s="1"/>
  <c r="BV195" i="1"/>
  <c r="BV101" i="1"/>
  <c r="BV85" i="1"/>
  <c r="BV43" i="1"/>
  <c r="BV24" i="1"/>
  <c r="BV26" i="1" s="1"/>
  <c r="BM265" i="1"/>
  <c r="BV248" i="1"/>
  <c r="BV262" i="1" s="1"/>
  <c r="BV174" i="1"/>
  <c r="BV139" i="1"/>
  <c r="BV187" i="1"/>
  <c r="BV146" i="1"/>
  <c r="BV269" i="1"/>
  <c r="BV271" i="1" s="1"/>
  <c r="BV107" i="1"/>
  <c r="BV205" i="1"/>
  <c r="BV240" i="1"/>
  <c r="BE262" i="1"/>
  <c r="BM185" i="1"/>
  <c r="BR168" i="1"/>
  <c r="BR24" i="1"/>
  <c r="BR26" i="1" s="1"/>
  <c r="BR160" i="1"/>
  <c r="BV160" i="1"/>
  <c r="BR33" i="1"/>
  <c r="BR13" i="1"/>
  <c r="BV13" i="1"/>
  <c r="BR75" i="1"/>
  <c r="BR62" i="1"/>
  <c r="BR125" i="1"/>
  <c r="BR221" i="1"/>
  <c r="BR195" i="1"/>
  <c r="BR65" i="1"/>
  <c r="BR134" i="1"/>
  <c r="BR271" i="1"/>
  <c r="BR98" i="1"/>
  <c r="BR184" i="1"/>
  <c r="BR52" i="1"/>
  <c r="BR93" i="1"/>
  <c r="BR113" i="1"/>
  <c r="BR213" i="1"/>
  <c r="BR217" i="1"/>
  <c r="BR164" i="1"/>
  <c r="BR101" i="1"/>
  <c r="BR262" i="1"/>
  <c r="BR117" i="1"/>
  <c r="BR36" i="1"/>
  <c r="BR240" i="1"/>
  <c r="AR310" i="1"/>
  <c r="BM26" i="1"/>
  <c r="BM135" i="1"/>
  <c r="BM223" i="1"/>
  <c r="AZ89" i="1"/>
  <c r="AZ135" i="1"/>
  <c r="AZ185" i="1"/>
  <c r="AZ223" i="1"/>
  <c r="BE185" i="1"/>
  <c r="BE52" i="1"/>
  <c r="BE213" i="1"/>
  <c r="BE195" i="1"/>
  <c r="BE113" i="1"/>
  <c r="BE217" i="1"/>
  <c r="BE98" i="1"/>
  <c r="BE117" i="1"/>
  <c r="BE221" i="1"/>
  <c r="BE36" i="1"/>
  <c r="BE134" i="1"/>
  <c r="BE93" i="1"/>
  <c r="BE101" i="1"/>
  <c r="AU301" i="1"/>
  <c r="AU298" i="1"/>
  <c r="AU296" i="1"/>
  <c r="AU292" i="1"/>
  <c r="AU294" i="1"/>
  <c r="AU293" i="1"/>
  <c r="AU300" i="1"/>
  <c r="AU295" i="1"/>
  <c r="AU297" i="1"/>
  <c r="AK323" i="1"/>
  <c r="AQ299" i="1"/>
  <c r="AY299" i="1" s="1"/>
  <c r="BL299" i="1" s="1"/>
  <c r="CA299" i="1" s="1"/>
  <c r="AQ291" i="1"/>
  <c r="AY291" i="1" s="1"/>
  <c r="BL291" i="1" s="1"/>
  <c r="CA291" i="1" s="1"/>
  <c r="AM297" i="1"/>
  <c r="AC297" i="1"/>
  <c r="AM296" i="1"/>
  <c r="AC296" i="1"/>
  <c r="AM292" i="1"/>
  <c r="AC292" i="1"/>
  <c r="AM294" i="1"/>
  <c r="AC294" i="1"/>
  <c r="AM293" i="1"/>
  <c r="AC293" i="1"/>
  <c r="AM295" i="1"/>
  <c r="AC295" i="1"/>
  <c r="AM300" i="1"/>
  <c r="AC300" i="1"/>
  <c r="AM301" i="1"/>
  <c r="AC301" i="1"/>
  <c r="AM298" i="1"/>
  <c r="AC298" i="1"/>
  <c r="X308" i="1"/>
  <c r="AG301" i="1"/>
  <c r="AI301" i="1"/>
  <c r="AG298" i="1"/>
  <c r="AI298" i="1"/>
  <c r="AG297" i="1"/>
  <c r="AI297" i="1"/>
  <c r="AG296" i="1"/>
  <c r="AI296" i="1"/>
  <c r="AG292" i="1"/>
  <c r="AI292" i="1"/>
  <c r="AG294" i="1"/>
  <c r="AI294" i="1"/>
  <c r="AG293" i="1"/>
  <c r="AI293" i="1"/>
  <c r="AG295" i="1"/>
  <c r="AI295" i="1"/>
  <c r="AG300" i="1"/>
  <c r="AI300" i="1"/>
  <c r="AD302" i="1"/>
  <c r="R308" i="1"/>
  <c r="Q289" i="1"/>
  <c r="M289" i="1"/>
  <c r="CB89" i="1" l="1"/>
  <c r="CB310" i="1" s="1"/>
  <c r="BR185" i="1"/>
  <c r="BV164" i="1"/>
  <c r="BV213" i="1"/>
  <c r="BV184" i="1"/>
  <c r="BV221" i="1"/>
  <c r="BQ299" i="1"/>
  <c r="BV117" i="1"/>
  <c r="BV217" i="1"/>
  <c r="BQ291" i="1"/>
  <c r="BV134" i="1"/>
  <c r="BV168" i="1"/>
  <c r="BR135" i="1"/>
  <c r="BR223" i="1"/>
  <c r="BM89" i="1"/>
  <c r="AZ310" i="1"/>
  <c r="BE89" i="1"/>
  <c r="BE135" i="1"/>
  <c r="BE223" i="1"/>
  <c r="AU302" i="1"/>
  <c r="AU308" i="1" s="1"/>
  <c r="AQ298" i="1"/>
  <c r="AY298" i="1" s="1"/>
  <c r="BL298" i="1" s="1"/>
  <c r="AQ300" i="1"/>
  <c r="AY300" i="1" s="1"/>
  <c r="BL300" i="1" s="1"/>
  <c r="CA300" i="1" s="1"/>
  <c r="AQ293" i="1"/>
  <c r="AY293" i="1" s="1"/>
  <c r="BL293" i="1" s="1"/>
  <c r="CA293" i="1" s="1"/>
  <c r="AQ292" i="1"/>
  <c r="AY292" i="1" s="1"/>
  <c r="BL292" i="1" s="1"/>
  <c r="CA292" i="1" s="1"/>
  <c r="AQ297" i="1"/>
  <c r="AY297" i="1" s="1"/>
  <c r="BL297" i="1" s="1"/>
  <c r="AQ301" i="1"/>
  <c r="AY301" i="1" s="1"/>
  <c r="BL301" i="1" s="1"/>
  <c r="CA301" i="1" s="1"/>
  <c r="AQ295" i="1"/>
  <c r="AY295" i="1" s="1"/>
  <c r="BL295" i="1" s="1"/>
  <c r="AQ296" i="1"/>
  <c r="AY296" i="1" s="1"/>
  <c r="BL296" i="1" s="1"/>
  <c r="CA296" i="1" s="1"/>
  <c r="AQ294" i="1"/>
  <c r="AY294" i="1" s="1"/>
  <c r="BL294" i="1" s="1"/>
  <c r="CA294" i="1" s="1"/>
  <c r="AI302" i="1"/>
  <c r="AI308" i="1" s="1"/>
  <c r="AM302" i="1"/>
  <c r="AM308" i="1" s="1"/>
  <c r="AC302" i="1"/>
  <c r="AD308" i="1"/>
  <c r="AG302" i="1"/>
  <c r="AG308" i="1" s="1"/>
  <c r="R289" i="1"/>
  <c r="X289" i="1" s="1"/>
  <c r="X290" i="1" s="1"/>
  <c r="Q287" i="1"/>
  <c r="M287" i="1"/>
  <c r="BV185" i="1" l="1"/>
  <c r="BV223" i="1"/>
  <c r="BV135" i="1"/>
  <c r="BQ300" i="1"/>
  <c r="BQ295" i="1"/>
  <c r="BQ293" i="1"/>
  <c r="BQ296" i="1"/>
  <c r="BQ292" i="1"/>
  <c r="BQ301" i="1"/>
  <c r="BQ294" i="1"/>
  <c r="BQ297" i="1"/>
  <c r="BQ298" i="1"/>
  <c r="BU298" i="1" s="1"/>
  <c r="CA298" i="1" s="1"/>
  <c r="BM310" i="1"/>
  <c r="BE310" i="1"/>
  <c r="AC308" i="1"/>
  <c r="AQ302" i="1"/>
  <c r="R287" i="1"/>
  <c r="X287" i="1" s="1"/>
  <c r="AD289" i="1"/>
  <c r="Q272" i="1"/>
  <c r="M272" i="1"/>
  <c r="M270" i="1"/>
  <c r="Q270" i="1"/>
  <c r="Q268" i="1"/>
  <c r="Q267" i="1"/>
  <c r="M268" i="1"/>
  <c r="M267" i="1"/>
  <c r="BU297" i="1" l="1"/>
  <c r="BU295" i="1"/>
  <c r="AY302" i="1"/>
  <c r="AY308" i="1" s="1"/>
  <c r="AQ308" i="1"/>
  <c r="AU289" i="1"/>
  <c r="AU290" i="1" s="1"/>
  <c r="AI289" i="1"/>
  <c r="AI290" i="1" s="1"/>
  <c r="AM289" i="1"/>
  <c r="AC289" i="1"/>
  <c r="R268" i="1"/>
  <c r="X268" i="1" s="1"/>
  <c r="AD268" i="1" s="1"/>
  <c r="R267" i="1"/>
  <c r="X267" i="1" s="1"/>
  <c r="AD290" i="1"/>
  <c r="AG289" i="1"/>
  <c r="AG290" i="1" s="1"/>
  <c r="R272" i="1"/>
  <c r="X272" i="1" s="1"/>
  <c r="X286" i="1" s="1"/>
  <c r="X288" i="1" s="1"/>
  <c r="R270" i="1"/>
  <c r="X270" i="1" s="1"/>
  <c r="AD270" i="1" s="1"/>
  <c r="CA297" i="1" l="1"/>
  <c r="CA295" i="1"/>
  <c r="BL302" i="1"/>
  <c r="AU268" i="1"/>
  <c r="AU270" i="1"/>
  <c r="AC290" i="1"/>
  <c r="AQ289" i="1"/>
  <c r="AY289" i="1" s="1"/>
  <c r="AM290" i="1"/>
  <c r="AM270" i="1"/>
  <c r="AC270" i="1"/>
  <c r="AD267" i="1"/>
  <c r="X269" i="1"/>
  <c r="AG268" i="1"/>
  <c r="AM268" i="1"/>
  <c r="AC268" i="1"/>
  <c r="AI268" i="1"/>
  <c r="AG270" i="1"/>
  <c r="AI270" i="1"/>
  <c r="AD269" i="1"/>
  <c r="Q266" i="1"/>
  <c r="M266" i="1"/>
  <c r="Q264" i="1"/>
  <c r="M264" i="1"/>
  <c r="Q263" i="1"/>
  <c r="M263" i="1"/>
  <c r="BL308" i="1" l="1"/>
  <c r="BQ302" i="1"/>
  <c r="AY290" i="1"/>
  <c r="BL289" i="1"/>
  <c r="CA289" i="1" s="1"/>
  <c r="AU267" i="1"/>
  <c r="AU269" i="1" s="1"/>
  <c r="AC269" i="1"/>
  <c r="AG267" i="1"/>
  <c r="AG269" i="1" s="1"/>
  <c r="AQ290" i="1"/>
  <c r="AQ268" i="1"/>
  <c r="AY268" i="1" s="1"/>
  <c r="BL268" i="1" s="1"/>
  <c r="AQ270" i="1"/>
  <c r="AY270" i="1" s="1"/>
  <c r="BL270" i="1" s="1"/>
  <c r="AI267" i="1"/>
  <c r="AI269" i="1" s="1"/>
  <c r="AM267" i="1"/>
  <c r="AC267" i="1"/>
  <c r="AI286" i="1"/>
  <c r="AI288" i="1" s="1"/>
  <c r="AC272" i="1"/>
  <c r="AD286" i="1"/>
  <c r="AG286" i="1"/>
  <c r="AG288" i="1" s="1"/>
  <c r="R266" i="1"/>
  <c r="X266" i="1" s="1"/>
  <c r="X271" i="1" s="1"/>
  <c r="R264" i="1"/>
  <c r="X264" i="1" s="1"/>
  <c r="AD264" i="1" s="1"/>
  <c r="R263" i="1"/>
  <c r="X263" i="1" s="1"/>
  <c r="CA290" i="1" l="1"/>
  <c r="BQ268" i="1"/>
  <c r="BU268" i="1" s="1"/>
  <c r="CA268" i="1" s="1"/>
  <c r="BQ270" i="1"/>
  <c r="BU270" i="1" s="1"/>
  <c r="CA270" i="1" s="1"/>
  <c r="BQ308" i="1"/>
  <c r="BU302" i="1"/>
  <c r="CA302" i="1" s="1"/>
  <c r="BL290" i="1"/>
  <c r="BQ289" i="1"/>
  <c r="AU264" i="1"/>
  <c r="AQ267" i="1"/>
  <c r="AY267" i="1" s="1"/>
  <c r="X265" i="1"/>
  <c r="AQ272" i="1"/>
  <c r="AY272" i="1" s="1"/>
  <c r="AD288" i="1"/>
  <c r="AC286" i="1"/>
  <c r="AM286" i="1"/>
  <c r="AM288" i="1" s="1"/>
  <c r="AM269" i="1"/>
  <c r="AM264" i="1"/>
  <c r="AC264" i="1"/>
  <c r="AG264" i="1"/>
  <c r="AI264" i="1"/>
  <c r="AD263" i="1"/>
  <c r="AD266" i="1"/>
  <c r="Q261" i="1"/>
  <c r="M261" i="1"/>
  <c r="Q259" i="1"/>
  <c r="Q258" i="1"/>
  <c r="Q257" i="1"/>
  <c r="M259" i="1"/>
  <c r="M258" i="1"/>
  <c r="M257" i="1"/>
  <c r="Q255" i="1"/>
  <c r="Q254" i="1"/>
  <c r="M255" i="1"/>
  <c r="M254" i="1"/>
  <c r="CA308" i="1" l="1"/>
  <c r="BU308" i="1"/>
  <c r="BQ290" i="1"/>
  <c r="AY269" i="1"/>
  <c r="BL267" i="1"/>
  <c r="AY286" i="1"/>
  <c r="AY288" i="1" s="1"/>
  <c r="BL272" i="1"/>
  <c r="AU266" i="1"/>
  <c r="AU271" i="1" s="1"/>
  <c r="AQ269" i="1"/>
  <c r="AU263" i="1"/>
  <c r="AU265" i="1" s="1"/>
  <c r="AC288" i="1"/>
  <c r="AQ286" i="1"/>
  <c r="AQ264" i="1"/>
  <c r="AY264" i="1" s="1"/>
  <c r="BL264" i="1" s="1"/>
  <c r="CA264" i="1" s="1"/>
  <c r="AI263" i="1"/>
  <c r="AI265" i="1" s="1"/>
  <c r="AM263" i="1"/>
  <c r="AM265" i="1" s="1"/>
  <c r="AC263" i="1"/>
  <c r="AI266" i="1"/>
  <c r="AI271" i="1" s="1"/>
  <c r="AM266" i="1"/>
  <c r="AC266" i="1"/>
  <c r="AD271" i="1"/>
  <c r="AG266" i="1"/>
  <c r="AG271" i="1" s="1"/>
  <c r="AD265" i="1"/>
  <c r="AG263" i="1"/>
  <c r="AG265" i="1" s="1"/>
  <c r="R261" i="1"/>
  <c r="X261" i="1" s="1"/>
  <c r="R257" i="1"/>
  <c r="X257" i="1" s="1"/>
  <c r="R259" i="1"/>
  <c r="X259" i="1" s="1"/>
  <c r="AD259" i="1" s="1"/>
  <c r="R258" i="1"/>
  <c r="X258" i="1" s="1"/>
  <c r="AD258" i="1" s="1"/>
  <c r="R254" i="1"/>
  <c r="X254" i="1" s="1"/>
  <c r="R255" i="1"/>
  <c r="X255" i="1" s="1"/>
  <c r="AD255" i="1" s="1"/>
  <c r="Q252" i="1"/>
  <c r="Q251" i="1"/>
  <c r="Q250" i="1"/>
  <c r="Q249" i="1"/>
  <c r="M252" i="1"/>
  <c r="M251" i="1"/>
  <c r="M250" i="1"/>
  <c r="M249" i="1"/>
  <c r="Q247" i="1"/>
  <c r="Q246" i="1"/>
  <c r="Q245" i="1"/>
  <c r="Q244" i="1"/>
  <c r="Q243" i="1"/>
  <c r="Q242" i="1"/>
  <c r="Q241" i="1"/>
  <c r="M243" i="1"/>
  <c r="M244" i="1"/>
  <c r="M245" i="1"/>
  <c r="M246" i="1"/>
  <c r="M247" i="1"/>
  <c r="M242" i="1"/>
  <c r="M241" i="1"/>
  <c r="Q239" i="1"/>
  <c r="M239" i="1"/>
  <c r="Q234" i="1"/>
  <c r="Q233" i="1"/>
  <c r="M234" i="1"/>
  <c r="M233" i="1"/>
  <c r="Q237" i="1"/>
  <c r="Q236" i="1"/>
  <c r="M237" i="1"/>
  <c r="M236" i="1"/>
  <c r="Q230" i="1"/>
  <c r="Q231" i="1"/>
  <c r="Q232" i="1"/>
  <c r="M230" i="1"/>
  <c r="M231" i="1"/>
  <c r="M232" i="1"/>
  <c r="Q229" i="1"/>
  <c r="M229" i="1"/>
  <c r="Q227" i="1"/>
  <c r="M227" i="1"/>
  <c r="Q226" i="1"/>
  <c r="M226" i="1"/>
  <c r="BQ264" i="1" l="1"/>
  <c r="BL286" i="1"/>
  <c r="BQ272" i="1"/>
  <c r="BL269" i="1"/>
  <c r="BQ267" i="1"/>
  <c r="BU267" i="1" s="1"/>
  <c r="AU255" i="1"/>
  <c r="AU259" i="1"/>
  <c r="AU258" i="1"/>
  <c r="AC265" i="1"/>
  <c r="AC271" i="1"/>
  <c r="AQ288" i="1"/>
  <c r="AQ266" i="1"/>
  <c r="AY266" i="1" s="1"/>
  <c r="AQ263" i="1"/>
  <c r="AM259" i="1"/>
  <c r="AC259" i="1"/>
  <c r="AM271" i="1"/>
  <c r="AM258" i="1"/>
  <c r="AC258" i="1"/>
  <c r="X256" i="1"/>
  <c r="AM255" i="1"/>
  <c r="AC255" i="1"/>
  <c r="X260" i="1"/>
  <c r="R245" i="1"/>
  <c r="X245" i="1" s="1"/>
  <c r="AD245" i="1" s="1"/>
  <c r="R252" i="1"/>
  <c r="X252" i="1" s="1"/>
  <c r="AD252" i="1" s="1"/>
  <c r="AG258" i="1"/>
  <c r="AI258" i="1"/>
  <c r="AG259" i="1"/>
  <c r="AI259" i="1"/>
  <c r="AG255" i="1"/>
  <c r="AI255" i="1"/>
  <c r="R237" i="1"/>
  <c r="X237" i="1" s="1"/>
  <c r="AD237" i="1" s="1"/>
  <c r="AD261" i="1"/>
  <c r="AD254" i="1"/>
  <c r="AD257" i="1"/>
  <c r="R249" i="1"/>
  <c r="X249" i="1" s="1"/>
  <c r="R251" i="1"/>
  <c r="X251" i="1" s="1"/>
  <c r="AD251" i="1" s="1"/>
  <c r="R250" i="1"/>
  <c r="X250" i="1" s="1"/>
  <c r="AD250" i="1" s="1"/>
  <c r="R247" i="1"/>
  <c r="X247" i="1" s="1"/>
  <c r="AD247" i="1" s="1"/>
  <c r="R246" i="1"/>
  <c r="X246" i="1" s="1"/>
  <c r="AD246" i="1" s="1"/>
  <c r="R244" i="1"/>
  <c r="X244" i="1" s="1"/>
  <c r="AD244" i="1" s="1"/>
  <c r="R241" i="1"/>
  <c r="X241" i="1" s="1"/>
  <c r="R243" i="1"/>
  <c r="X243" i="1" s="1"/>
  <c r="AD243" i="1" s="1"/>
  <c r="R242" i="1"/>
  <c r="X242" i="1" s="1"/>
  <c r="AD242" i="1" s="1"/>
  <c r="R239" i="1"/>
  <c r="X239" i="1" s="1"/>
  <c r="R236" i="1"/>
  <c r="X236" i="1" s="1"/>
  <c r="R234" i="1"/>
  <c r="X234" i="1" s="1"/>
  <c r="AD234" i="1" s="1"/>
  <c r="R233" i="1"/>
  <c r="X233" i="1" s="1"/>
  <c r="R232" i="1"/>
  <c r="X232" i="1" s="1"/>
  <c r="AD232" i="1" s="1"/>
  <c r="R231" i="1"/>
  <c r="X231" i="1" s="1"/>
  <c r="AD231" i="1" s="1"/>
  <c r="R230" i="1"/>
  <c r="X230" i="1" s="1"/>
  <c r="AD230" i="1" s="1"/>
  <c r="R229" i="1"/>
  <c r="X229" i="1" s="1"/>
  <c r="AD229" i="1" s="1"/>
  <c r="R227" i="1"/>
  <c r="X227" i="1" s="1"/>
  <c r="AD227" i="1" s="1"/>
  <c r="R226" i="1"/>
  <c r="X226" i="1" s="1"/>
  <c r="CA267" i="1" l="1"/>
  <c r="BQ269" i="1"/>
  <c r="BQ286" i="1"/>
  <c r="BU272" i="1"/>
  <c r="CA272" i="1" s="1"/>
  <c r="BL288" i="1"/>
  <c r="AY263" i="1"/>
  <c r="AY265" i="1" s="1"/>
  <c r="AQ265" i="1"/>
  <c r="AY271" i="1"/>
  <c r="BL266" i="1"/>
  <c r="CA266" i="1" s="1"/>
  <c r="AU227" i="1"/>
  <c r="AU251" i="1"/>
  <c r="AU250" i="1"/>
  <c r="AU230" i="1"/>
  <c r="AU234" i="1"/>
  <c r="AU243" i="1"/>
  <c r="AU257" i="1"/>
  <c r="AU260" i="1" s="1"/>
  <c r="AU229" i="1"/>
  <c r="AU242" i="1"/>
  <c r="AU246" i="1"/>
  <c r="AU237" i="1"/>
  <c r="AU232" i="1"/>
  <c r="AU261" i="1"/>
  <c r="AU231" i="1"/>
  <c r="AU254" i="1"/>
  <c r="AU256" i="1" s="1"/>
  <c r="AU244" i="1"/>
  <c r="AU252" i="1"/>
  <c r="AU247" i="1"/>
  <c r="AI245" i="1"/>
  <c r="AU245" i="1"/>
  <c r="X238" i="1"/>
  <c r="AQ258" i="1"/>
  <c r="AY258" i="1" s="1"/>
  <c r="BL258" i="1" s="1"/>
  <c r="AQ271" i="1"/>
  <c r="AQ259" i="1"/>
  <c r="AY259" i="1" s="1"/>
  <c r="BL259" i="1" s="1"/>
  <c r="AQ255" i="1"/>
  <c r="AY255" i="1" s="1"/>
  <c r="BL255" i="1" s="1"/>
  <c r="AM227" i="1"/>
  <c r="AC227" i="1"/>
  <c r="AM251" i="1"/>
  <c r="AC251" i="1"/>
  <c r="AM261" i="1"/>
  <c r="AC261" i="1"/>
  <c r="AM231" i="1"/>
  <c r="AC231" i="1"/>
  <c r="AM250" i="1"/>
  <c r="AC250" i="1"/>
  <c r="AI254" i="1"/>
  <c r="AI256" i="1" s="1"/>
  <c r="AM254" i="1"/>
  <c r="AC254" i="1"/>
  <c r="AM245" i="1"/>
  <c r="AC245" i="1"/>
  <c r="AM234" i="1"/>
  <c r="AC234" i="1"/>
  <c r="AM243" i="1"/>
  <c r="AC243" i="1"/>
  <c r="AM247" i="1"/>
  <c r="AC247" i="1"/>
  <c r="AI257" i="1"/>
  <c r="AI260" i="1" s="1"/>
  <c r="AM257" i="1"/>
  <c r="AC257" i="1"/>
  <c r="AG252" i="1"/>
  <c r="AM252" i="1"/>
  <c r="AC252" i="1"/>
  <c r="AM229" i="1"/>
  <c r="AC229" i="1"/>
  <c r="AM242" i="1"/>
  <c r="AC242" i="1"/>
  <c r="AM246" i="1"/>
  <c r="AC246" i="1"/>
  <c r="AM237" i="1"/>
  <c r="AC237" i="1"/>
  <c r="X228" i="1"/>
  <c r="X248" i="1"/>
  <c r="X235" i="1"/>
  <c r="X253" i="1"/>
  <c r="AG245" i="1"/>
  <c r="AM232" i="1"/>
  <c r="AC232" i="1"/>
  <c r="AM244" i="1"/>
  <c r="AC244" i="1"/>
  <c r="AM230" i="1"/>
  <c r="AC230" i="1"/>
  <c r="AI252" i="1"/>
  <c r="AG229" i="1"/>
  <c r="AI229" i="1"/>
  <c r="AG246" i="1"/>
  <c r="AI246" i="1"/>
  <c r="AG227" i="1"/>
  <c r="AI227" i="1"/>
  <c r="AG232" i="1"/>
  <c r="AI232" i="1"/>
  <c r="AG244" i="1"/>
  <c r="AI244" i="1"/>
  <c r="AG251" i="1"/>
  <c r="AI251" i="1"/>
  <c r="AG242" i="1"/>
  <c r="AI242" i="1"/>
  <c r="AG231" i="1"/>
  <c r="AI231" i="1"/>
  <c r="AG250" i="1"/>
  <c r="AI250" i="1"/>
  <c r="AG237" i="1"/>
  <c r="AI237" i="1"/>
  <c r="AG230" i="1"/>
  <c r="AI230" i="1"/>
  <c r="AG234" i="1"/>
  <c r="AI234" i="1"/>
  <c r="AG243" i="1"/>
  <c r="AI243" i="1"/>
  <c r="AG247" i="1"/>
  <c r="AI247" i="1"/>
  <c r="AG261" i="1"/>
  <c r="AI261" i="1"/>
  <c r="AD260" i="1"/>
  <c r="AG257" i="1"/>
  <c r="AG260" i="1" s="1"/>
  <c r="AD256" i="1"/>
  <c r="AG254" i="1"/>
  <c r="AG256" i="1" s="1"/>
  <c r="AD226" i="1"/>
  <c r="AD236" i="1"/>
  <c r="AD241" i="1"/>
  <c r="AD233" i="1"/>
  <c r="AD249" i="1"/>
  <c r="AD239" i="1"/>
  <c r="Q222" i="1"/>
  <c r="M222" i="1"/>
  <c r="Q220" i="1"/>
  <c r="Q219" i="1"/>
  <c r="Q218" i="1"/>
  <c r="M220" i="1"/>
  <c r="M219" i="1"/>
  <c r="M218" i="1"/>
  <c r="Q216" i="1"/>
  <c r="Q215" i="1"/>
  <c r="M216" i="1"/>
  <c r="M215" i="1"/>
  <c r="Q214" i="1"/>
  <c r="M214" i="1"/>
  <c r="Q212" i="1"/>
  <c r="Q211" i="1"/>
  <c r="Q210" i="1"/>
  <c r="M212" i="1"/>
  <c r="M211" i="1"/>
  <c r="M210" i="1"/>
  <c r="Q208" i="1"/>
  <c r="Q207" i="1"/>
  <c r="M208" i="1"/>
  <c r="M207" i="1"/>
  <c r="Q206" i="1"/>
  <c r="M206" i="1"/>
  <c r="Q204" i="1"/>
  <c r="Q203" i="1"/>
  <c r="Q202" i="1"/>
  <c r="Q201" i="1"/>
  <c r="Q200" i="1"/>
  <c r="Q199" i="1"/>
  <c r="M201" i="1"/>
  <c r="M202" i="1"/>
  <c r="M203" i="1"/>
  <c r="M204" i="1"/>
  <c r="M200" i="1"/>
  <c r="M199" i="1"/>
  <c r="Q197" i="1"/>
  <c r="Q198" i="1"/>
  <c r="M197" i="1"/>
  <c r="M198" i="1"/>
  <c r="Q196" i="1"/>
  <c r="M196" i="1"/>
  <c r="CA286" i="1" l="1"/>
  <c r="CA288" i="1" s="1"/>
  <c r="CA269" i="1"/>
  <c r="CA271" i="1"/>
  <c r="BU286" i="1"/>
  <c r="BU288" i="1" s="1"/>
  <c r="BQ259" i="1"/>
  <c r="BU259" i="1" s="1"/>
  <c r="CA259" i="1" s="1"/>
  <c r="BQ258" i="1"/>
  <c r="BU258" i="1" s="1"/>
  <c r="CA258" i="1" s="1"/>
  <c r="BQ255" i="1"/>
  <c r="BU255" i="1" s="1"/>
  <c r="CA255" i="1" s="1"/>
  <c r="BU269" i="1"/>
  <c r="BL263" i="1"/>
  <c r="BQ288" i="1"/>
  <c r="BL271" i="1"/>
  <c r="BQ266" i="1"/>
  <c r="X262" i="1"/>
  <c r="AQ252" i="1"/>
  <c r="AY252" i="1" s="1"/>
  <c r="BL252" i="1" s="1"/>
  <c r="AU241" i="1"/>
  <c r="AU248" i="1" s="1"/>
  <c r="AU233" i="1"/>
  <c r="AU235" i="1" s="1"/>
  <c r="AU226" i="1"/>
  <c r="AU228" i="1" s="1"/>
  <c r="AU239" i="1"/>
  <c r="AU236" i="1"/>
  <c r="AU238" i="1" s="1"/>
  <c r="AU249" i="1"/>
  <c r="AU253" i="1" s="1"/>
  <c r="AC260" i="1"/>
  <c r="AC256" i="1"/>
  <c r="AQ229" i="1"/>
  <c r="AY229" i="1" s="1"/>
  <c r="BL229" i="1" s="1"/>
  <c r="CA229" i="1" s="1"/>
  <c r="R201" i="1"/>
  <c r="X201" i="1" s="1"/>
  <c r="AD201" i="1" s="1"/>
  <c r="AQ230" i="1"/>
  <c r="AY230" i="1" s="1"/>
  <c r="BL230" i="1" s="1"/>
  <c r="CA230" i="1" s="1"/>
  <c r="AQ232" i="1"/>
  <c r="AY232" i="1" s="1"/>
  <c r="BL232" i="1" s="1"/>
  <c r="X240" i="1"/>
  <c r="AQ257" i="1"/>
  <c r="AY257" i="1" s="1"/>
  <c r="AQ250" i="1"/>
  <c r="AY250" i="1" s="1"/>
  <c r="BL250" i="1" s="1"/>
  <c r="CA250" i="1" s="1"/>
  <c r="AQ246" i="1"/>
  <c r="AY246" i="1" s="1"/>
  <c r="BL246" i="1" s="1"/>
  <c r="AQ251" i="1"/>
  <c r="AY251" i="1" s="1"/>
  <c r="BL251" i="1" s="1"/>
  <c r="AQ247" i="1"/>
  <c r="AY247" i="1" s="1"/>
  <c r="BL247" i="1" s="1"/>
  <c r="AQ234" i="1"/>
  <c r="AY234" i="1" s="1"/>
  <c r="BL234" i="1" s="1"/>
  <c r="AQ231" i="1"/>
  <c r="AY231" i="1" s="1"/>
  <c r="BL231" i="1" s="1"/>
  <c r="CA231" i="1" s="1"/>
  <c r="AQ244" i="1"/>
  <c r="AY244" i="1" s="1"/>
  <c r="BL244" i="1" s="1"/>
  <c r="AQ245" i="1"/>
  <c r="AY245" i="1" s="1"/>
  <c r="BL245" i="1" s="1"/>
  <c r="AQ237" i="1"/>
  <c r="AY237" i="1" s="1"/>
  <c r="BL237" i="1" s="1"/>
  <c r="AQ242" i="1"/>
  <c r="AY242" i="1" s="1"/>
  <c r="BL242" i="1" s="1"/>
  <c r="AQ243" i="1"/>
  <c r="AY243" i="1" s="1"/>
  <c r="BL243" i="1" s="1"/>
  <c r="AQ254" i="1"/>
  <c r="AY254" i="1" s="1"/>
  <c r="AQ261" i="1"/>
  <c r="AY261" i="1" s="1"/>
  <c r="BL261" i="1" s="1"/>
  <c r="CA261" i="1" s="1"/>
  <c r="AQ227" i="1"/>
  <c r="AY227" i="1" s="1"/>
  <c r="BL227" i="1" s="1"/>
  <c r="AI241" i="1"/>
  <c r="AI248" i="1" s="1"/>
  <c r="AM241" i="1"/>
  <c r="AC241" i="1"/>
  <c r="AI249" i="1"/>
  <c r="AI253" i="1" s="1"/>
  <c r="AM249" i="1"/>
  <c r="AC249" i="1"/>
  <c r="AI239" i="1"/>
  <c r="AM239" i="1"/>
  <c r="AC239" i="1"/>
  <c r="AI236" i="1"/>
  <c r="AI238" i="1" s="1"/>
  <c r="AM236" i="1"/>
  <c r="AC236" i="1"/>
  <c r="AM260" i="1"/>
  <c r="AM256" i="1"/>
  <c r="R202" i="1"/>
  <c r="X202" i="1" s="1"/>
  <c r="AD202" i="1" s="1"/>
  <c r="R216" i="1"/>
  <c r="X216" i="1" s="1"/>
  <c r="AD216" i="1" s="1"/>
  <c r="AI233" i="1"/>
  <c r="AI235" i="1" s="1"/>
  <c r="AM233" i="1"/>
  <c r="AC233" i="1"/>
  <c r="AI226" i="1"/>
  <c r="AI228" i="1" s="1"/>
  <c r="AM226" i="1"/>
  <c r="AC226" i="1"/>
  <c r="AG239" i="1"/>
  <c r="AD235" i="1"/>
  <c r="AG233" i="1"/>
  <c r="AG235" i="1" s="1"/>
  <c r="AD238" i="1"/>
  <c r="AG236" i="1"/>
  <c r="AG238" i="1" s="1"/>
  <c r="AD253" i="1"/>
  <c r="AG249" i="1"/>
  <c r="AG253" i="1" s="1"/>
  <c r="AD248" i="1"/>
  <c r="AG241" i="1"/>
  <c r="AG248" i="1" s="1"/>
  <c r="AD228" i="1"/>
  <c r="AG226" i="1"/>
  <c r="AG228" i="1" s="1"/>
  <c r="R196" i="1"/>
  <c r="X196" i="1" s="1"/>
  <c r="AD196" i="1" s="1"/>
  <c r="R220" i="1"/>
  <c r="X220" i="1" s="1"/>
  <c r="AD220" i="1" s="1"/>
  <c r="R215" i="1"/>
  <c r="X215" i="1" s="1"/>
  <c r="R222" i="1"/>
  <c r="X222" i="1" s="1"/>
  <c r="R218" i="1"/>
  <c r="X218" i="1" s="1"/>
  <c r="R219" i="1"/>
  <c r="X219" i="1" s="1"/>
  <c r="AD219" i="1" s="1"/>
  <c r="R214" i="1"/>
  <c r="X214" i="1" s="1"/>
  <c r="AD214" i="1" s="1"/>
  <c r="R210" i="1"/>
  <c r="X210" i="1" s="1"/>
  <c r="R211" i="1"/>
  <c r="X211" i="1" s="1"/>
  <c r="AD211" i="1" s="1"/>
  <c r="R212" i="1"/>
  <c r="X212" i="1" s="1"/>
  <c r="AD212" i="1" s="1"/>
  <c r="R208" i="1"/>
  <c r="X208" i="1" s="1"/>
  <c r="AD208" i="1" s="1"/>
  <c r="R207" i="1"/>
  <c r="X207" i="1" s="1"/>
  <c r="R206" i="1"/>
  <c r="X206" i="1" s="1"/>
  <c r="AD206" i="1" s="1"/>
  <c r="R204" i="1"/>
  <c r="X204" i="1" s="1"/>
  <c r="AD204" i="1" s="1"/>
  <c r="R203" i="1"/>
  <c r="X203" i="1" s="1"/>
  <c r="AD203" i="1" s="1"/>
  <c r="R200" i="1"/>
  <c r="X200" i="1" s="1"/>
  <c r="AD200" i="1" s="1"/>
  <c r="R199" i="1"/>
  <c r="X199" i="1" s="1"/>
  <c r="R198" i="1"/>
  <c r="X198" i="1" s="1"/>
  <c r="AD198" i="1" s="1"/>
  <c r="R197" i="1"/>
  <c r="X197" i="1" s="1"/>
  <c r="AD197" i="1" s="1"/>
  <c r="BQ263" i="1" l="1"/>
  <c r="CA263" i="1"/>
  <c r="BQ251" i="1"/>
  <c r="BQ245" i="1"/>
  <c r="BQ247" i="1"/>
  <c r="BU247" i="1" s="1"/>
  <c r="CA247" i="1" s="1"/>
  <c r="BL265" i="1"/>
  <c r="BQ244" i="1"/>
  <c r="BQ261" i="1"/>
  <c r="BQ237" i="1"/>
  <c r="BU237" i="1" s="1"/>
  <c r="CA237" i="1" s="1"/>
  <c r="BQ234" i="1"/>
  <c r="BU234" i="1" s="1"/>
  <c r="CA234" i="1" s="1"/>
  <c r="BQ250" i="1"/>
  <c r="BQ230" i="1"/>
  <c r="BQ243" i="1"/>
  <c r="BQ229" i="1"/>
  <c r="BQ227" i="1"/>
  <c r="BU227" i="1" s="1"/>
  <c r="CA227" i="1" s="1"/>
  <c r="BQ242" i="1"/>
  <c r="BQ231" i="1"/>
  <c r="BQ246" i="1"/>
  <c r="BU246" i="1" s="1"/>
  <c r="CA246" i="1" s="1"/>
  <c r="BQ232" i="1"/>
  <c r="BU232" i="1" s="1"/>
  <c r="CA232" i="1" s="1"/>
  <c r="BQ252" i="1"/>
  <c r="BU252" i="1" s="1"/>
  <c r="CA252" i="1" s="1"/>
  <c r="BQ265" i="1"/>
  <c r="BQ271" i="1"/>
  <c r="AU262" i="1"/>
  <c r="AU240" i="1"/>
  <c r="AG240" i="1"/>
  <c r="AI240" i="1"/>
  <c r="AY256" i="1"/>
  <c r="BL254" i="1"/>
  <c r="CA254" i="1" s="1"/>
  <c r="AY260" i="1"/>
  <c r="BL257" i="1"/>
  <c r="CA257" i="1" s="1"/>
  <c r="AI262" i="1"/>
  <c r="AU208" i="1"/>
  <c r="AU211" i="1"/>
  <c r="AU198" i="1"/>
  <c r="AU204" i="1"/>
  <c r="AU212" i="1"/>
  <c r="AU219" i="1"/>
  <c r="AU220" i="1"/>
  <c r="AU197" i="1"/>
  <c r="AU203" i="1"/>
  <c r="AU200" i="1"/>
  <c r="AM201" i="1"/>
  <c r="AU214" i="1"/>
  <c r="AU206" i="1"/>
  <c r="AU196" i="1"/>
  <c r="AC248" i="1"/>
  <c r="AC238" i="1"/>
  <c r="AI216" i="1"/>
  <c r="AU216" i="1"/>
  <c r="AI201" i="1"/>
  <c r="AU201" i="1"/>
  <c r="AC228" i="1"/>
  <c r="AC253" i="1"/>
  <c r="AC235" i="1"/>
  <c r="AI202" i="1"/>
  <c r="AU202" i="1"/>
  <c r="AQ260" i="1"/>
  <c r="AQ236" i="1"/>
  <c r="AY236" i="1" s="1"/>
  <c r="AQ256" i="1"/>
  <c r="AG201" i="1"/>
  <c r="AC201" i="1"/>
  <c r="X217" i="1"/>
  <c r="AQ233" i="1"/>
  <c r="AY233" i="1" s="1"/>
  <c r="AQ241" i="1"/>
  <c r="AY241" i="1" s="1"/>
  <c r="AG216" i="1"/>
  <c r="AQ239" i="1"/>
  <c r="AQ226" i="1"/>
  <c r="AY226" i="1" s="1"/>
  <c r="AQ249" i="1"/>
  <c r="AY249" i="1" s="1"/>
  <c r="AM198" i="1"/>
  <c r="AC198" i="1"/>
  <c r="AM212" i="1"/>
  <c r="AC212" i="1"/>
  <c r="AM220" i="1"/>
  <c r="AC220" i="1"/>
  <c r="AM197" i="1"/>
  <c r="AC197" i="1"/>
  <c r="AM203" i="1"/>
  <c r="AC203" i="1"/>
  <c r="AM214" i="1"/>
  <c r="AC214" i="1"/>
  <c r="AM238" i="1"/>
  <c r="AM253" i="1"/>
  <c r="AM200" i="1"/>
  <c r="AC200" i="1"/>
  <c r="AM228" i="1"/>
  <c r="AM206" i="1"/>
  <c r="AC206" i="1"/>
  <c r="AM211" i="1"/>
  <c r="AC211" i="1"/>
  <c r="AM196" i="1"/>
  <c r="AC196" i="1"/>
  <c r="AM235" i="1"/>
  <c r="AM216" i="1"/>
  <c r="AC216" i="1"/>
  <c r="X209" i="1"/>
  <c r="X213" i="1"/>
  <c r="AG202" i="1"/>
  <c r="X205" i="1"/>
  <c r="X221" i="1"/>
  <c r="AM204" i="1"/>
  <c r="AC204" i="1"/>
  <c r="AM219" i="1"/>
  <c r="AC219" i="1"/>
  <c r="AM202" i="1"/>
  <c r="AC202" i="1"/>
  <c r="AM208" i="1"/>
  <c r="AC208" i="1"/>
  <c r="AM248" i="1"/>
  <c r="AG262" i="1"/>
  <c r="AG203" i="1"/>
  <c r="AI203" i="1"/>
  <c r="AG214" i="1"/>
  <c r="AI214" i="1"/>
  <c r="AG206" i="1"/>
  <c r="AI206" i="1"/>
  <c r="AG211" i="1"/>
  <c r="AI211" i="1"/>
  <c r="AG196" i="1"/>
  <c r="AI196" i="1"/>
  <c r="AG198" i="1"/>
  <c r="AI198" i="1"/>
  <c r="AG204" i="1"/>
  <c r="AI204" i="1"/>
  <c r="AG212" i="1"/>
  <c r="AI212" i="1"/>
  <c r="AG219" i="1"/>
  <c r="AI219" i="1"/>
  <c r="AG220" i="1"/>
  <c r="AI220" i="1"/>
  <c r="AG197" i="1"/>
  <c r="AI197" i="1"/>
  <c r="AG208" i="1"/>
  <c r="AI208" i="1"/>
  <c r="AG200" i="1"/>
  <c r="AI200" i="1"/>
  <c r="AD240" i="1"/>
  <c r="AD262" i="1"/>
  <c r="AD207" i="1"/>
  <c r="AD210" i="1"/>
  <c r="AD222" i="1"/>
  <c r="AD199" i="1"/>
  <c r="AD218" i="1"/>
  <c r="AD215" i="1"/>
  <c r="J195" i="1"/>
  <c r="Q194" i="1"/>
  <c r="Q193" i="1"/>
  <c r="M194" i="1"/>
  <c r="M193" i="1"/>
  <c r="Q192" i="1"/>
  <c r="M192" i="1"/>
  <c r="Q190" i="1"/>
  <c r="Q189" i="1"/>
  <c r="Q188" i="1"/>
  <c r="M190" i="1"/>
  <c r="M189" i="1"/>
  <c r="M188" i="1"/>
  <c r="Q186" i="1"/>
  <c r="M186" i="1"/>
  <c r="CA256" i="1" l="1"/>
  <c r="CA260" i="1"/>
  <c r="CA265" i="1"/>
  <c r="BU244" i="1"/>
  <c r="BU251" i="1"/>
  <c r="BU245" i="1"/>
  <c r="BU242" i="1"/>
  <c r="BU243" i="1"/>
  <c r="BU271" i="1"/>
  <c r="BL260" i="1"/>
  <c r="BQ257" i="1"/>
  <c r="BL256" i="1"/>
  <c r="BQ254" i="1"/>
  <c r="AM262" i="1"/>
  <c r="AM240" i="1"/>
  <c r="AY239" i="1"/>
  <c r="AY253" i="1"/>
  <c r="BL249" i="1"/>
  <c r="CA249" i="1" s="1"/>
  <c r="AY248" i="1"/>
  <c r="BL241" i="1"/>
  <c r="AY228" i="1"/>
  <c r="BL226" i="1"/>
  <c r="CA226" i="1" s="1"/>
  <c r="AY235" i="1"/>
  <c r="BL233" i="1"/>
  <c r="AY238" i="1"/>
  <c r="BL236" i="1"/>
  <c r="AQ201" i="1"/>
  <c r="AY201" i="1" s="1"/>
  <c r="BL201" i="1" s="1"/>
  <c r="AU210" i="1"/>
  <c r="AU213" i="1" s="1"/>
  <c r="AU222" i="1"/>
  <c r="AU199" i="1"/>
  <c r="AU205" i="1" s="1"/>
  <c r="AU207" i="1"/>
  <c r="AU209" i="1" s="1"/>
  <c r="AU218" i="1"/>
  <c r="AU221" i="1" s="1"/>
  <c r="AU215" i="1"/>
  <c r="AU217" i="1" s="1"/>
  <c r="AC240" i="1"/>
  <c r="AC262" i="1"/>
  <c r="AQ253" i="1"/>
  <c r="AQ235" i="1"/>
  <c r="AQ238" i="1"/>
  <c r="AQ228" i="1"/>
  <c r="AQ248" i="1"/>
  <c r="AQ214" i="1"/>
  <c r="AY214" i="1" s="1"/>
  <c r="BL214" i="1" s="1"/>
  <c r="CA214" i="1" s="1"/>
  <c r="AQ204" i="1"/>
  <c r="AY204" i="1" s="1"/>
  <c r="BL204" i="1" s="1"/>
  <c r="AQ208" i="1"/>
  <c r="AY208" i="1" s="1"/>
  <c r="BL208" i="1" s="1"/>
  <c r="CA208" i="1" s="1"/>
  <c r="AQ219" i="1"/>
  <c r="AY219" i="1" s="1"/>
  <c r="BL219" i="1" s="1"/>
  <c r="AQ211" i="1"/>
  <c r="AY211" i="1" s="1"/>
  <c r="BL211" i="1" s="1"/>
  <c r="AQ212" i="1"/>
  <c r="AY212" i="1" s="1"/>
  <c r="BL212" i="1" s="1"/>
  <c r="AQ216" i="1"/>
  <c r="AY216" i="1" s="1"/>
  <c r="BL216" i="1" s="1"/>
  <c r="CA216" i="1" s="1"/>
  <c r="AQ197" i="1"/>
  <c r="AY197" i="1" s="1"/>
  <c r="BL197" i="1" s="1"/>
  <c r="AQ202" i="1"/>
  <c r="AY202" i="1" s="1"/>
  <c r="BL202" i="1" s="1"/>
  <c r="AQ206" i="1"/>
  <c r="AY206" i="1" s="1"/>
  <c r="BL206" i="1" s="1"/>
  <c r="AQ196" i="1"/>
  <c r="AY196" i="1" s="1"/>
  <c r="BL196" i="1" s="1"/>
  <c r="CA196" i="1" s="1"/>
  <c r="AQ200" i="1"/>
  <c r="AY200" i="1" s="1"/>
  <c r="BL200" i="1" s="1"/>
  <c r="AQ220" i="1"/>
  <c r="AY220" i="1" s="1"/>
  <c r="BL220" i="1" s="1"/>
  <c r="AQ198" i="1"/>
  <c r="AY198" i="1" s="1"/>
  <c r="BL198" i="1" s="1"/>
  <c r="CA198" i="1" s="1"/>
  <c r="AQ203" i="1"/>
  <c r="AY203" i="1" s="1"/>
  <c r="BL203" i="1" s="1"/>
  <c r="AI215" i="1"/>
  <c r="AI217" i="1" s="1"/>
  <c r="AM215" i="1"/>
  <c r="AC215" i="1"/>
  <c r="AI210" i="1"/>
  <c r="AI213" i="1" s="1"/>
  <c r="AM210" i="1"/>
  <c r="AC210" i="1"/>
  <c r="AM222" i="1"/>
  <c r="AC222" i="1"/>
  <c r="AI199" i="1"/>
  <c r="AI205" i="1" s="1"/>
  <c r="AM199" i="1"/>
  <c r="AC199" i="1"/>
  <c r="AI218" i="1"/>
  <c r="AI221" i="1" s="1"/>
  <c r="AM218" i="1"/>
  <c r="AC218" i="1"/>
  <c r="AI207" i="1"/>
  <c r="AI209" i="1" s="1"/>
  <c r="AM207" i="1"/>
  <c r="AC207" i="1"/>
  <c r="AG222" i="1"/>
  <c r="AI222" i="1"/>
  <c r="AD205" i="1"/>
  <c r="AG199" i="1"/>
  <c r="AG205" i="1" s="1"/>
  <c r="AD209" i="1"/>
  <c r="AG207" i="1"/>
  <c r="AG209" i="1" s="1"/>
  <c r="AD217" i="1"/>
  <c r="AG215" i="1"/>
  <c r="AG217" i="1" s="1"/>
  <c r="AD221" i="1"/>
  <c r="AG218" i="1"/>
  <c r="AG221" i="1" s="1"/>
  <c r="AD213" i="1"/>
  <c r="AG210" i="1"/>
  <c r="AG213" i="1" s="1"/>
  <c r="R190" i="1"/>
  <c r="X190" i="1" s="1"/>
  <c r="AD190" i="1" s="1"/>
  <c r="R186" i="1"/>
  <c r="X186" i="1" s="1"/>
  <c r="X187" i="1" s="1"/>
  <c r="R189" i="1"/>
  <c r="X189" i="1" s="1"/>
  <c r="AD189" i="1" s="1"/>
  <c r="R193" i="1"/>
  <c r="X193" i="1" s="1"/>
  <c r="R194" i="1"/>
  <c r="X194" i="1" s="1"/>
  <c r="AD194" i="1" s="1"/>
  <c r="R192" i="1"/>
  <c r="X192" i="1" s="1"/>
  <c r="AD192" i="1" s="1"/>
  <c r="R188" i="1"/>
  <c r="X188" i="1" s="1"/>
  <c r="CA228" i="1" l="1"/>
  <c r="CA242" i="1"/>
  <c r="CA245" i="1"/>
  <c r="CA244" i="1"/>
  <c r="CA243" i="1"/>
  <c r="CA251" i="1"/>
  <c r="BQ219" i="1"/>
  <c r="BQ220" i="1"/>
  <c r="BQ202" i="1"/>
  <c r="BQ211" i="1"/>
  <c r="BU211" i="1" s="1"/>
  <c r="CA211" i="1" s="1"/>
  <c r="BQ214" i="1"/>
  <c r="BQ200" i="1"/>
  <c r="BQ198" i="1"/>
  <c r="BQ206" i="1"/>
  <c r="BU206" i="1" s="1"/>
  <c r="CA206" i="1" s="1"/>
  <c r="BQ212" i="1"/>
  <c r="BU212" i="1" s="1"/>
  <c r="CA212" i="1" s="1"/>
  <c r="BQ204" i="1"/>
  <c r="BQ197" i="1"/>
  <c r="BQ203" i="1"/>
  <c r="BQ196" i="1"/>
  <c r="BQ216" i="1"/>
  <c r="BQ208" i="1"/>
  <c r="BQ201" i="1"/>
  <c r="BQ256" i="1"/>
  <c r="BU256" i="1"/>
  <c r="BQ260" i="1"/>
  <c r="BU260" i="1"/>
  <c r="BL238" i="1"/>
  <c r="BQ236" i="1"/>
  <c r="BL235" i="1"/>
  <c r="BQ233" i="1"/>
  <c r="BL228" i="1"/>
  <c r="BQ226" i="1"/>
  <c r="BL248" i="1"/>
  <c r="BQ241" i="1"/>
  <c r="BL253" i="1"/>
  <c r="BQ249" i="1"/>
  <c r="AQ240" i="1"/>
  <c r="AQ262" i="1"/>
  <c r="AY262" i="1"/>
  <c r="BL239" i="1"/>
  <c r="CA239" i="1" s="1"/>
  <c r="AY240" i="1"/>
  <c r="AU194" i="1"/>
  <c r="AU192" i="1"/>
  <c r="AU189" i="1"/>
  <c r="AU190" i="1"/>
  <c r="AC213" i="1"/>
  <c r="AC205" i="1"/>
  <c r="AC217" i="1"/>
  <c r="AC221" i="1"/>
  <c r="AC209" i="1"/>
  <c r="AQ199" i="1"/>
  <c r="AY199" i="1" s="1"/>
  <c r="AQ210" i="1"/>
  <c r="AY210" i="1" s="1"/>
  <c r="AQ222" i="1"/>
  <c r="AQ218" i="1"/>
  <c r="AY218" i="1" s="1"/>
  <c r="AQ215" i="1"/>
  <c r="AY215" i="1" s="1"/>
  <c r="AQ207" i="1"/>
  <c r="AY207" i="1" s="1"/>
  <c r="AM194" i="1"/>
  <c r="AC194" i="1"/>
  <c r="AM192" i="1"/>
  <c r="AC192" i="1"/>
  <c r="AM189" i="1"/>
  <c r="AC189" i="1"/>
  <c r="AM213" i="1"/>
  <c r="AM217" i="1"/>
  <c r="AM209" i="1"/>
  <c r="AM221" i="1"/>
  <c r="AM205" i="1"/>
  <c r="X191" i="1"/>
  <c r="X195" i="1"/>
  <c r="AM190" i="1"/>
  <c r="AC190" i="1"/>
  <c r="AG192" i="1"/>
  <c r="AI192" i="1"/>
  <c r="AG189" i="1"/>
  <c r="AI189" i="1"/>
  <c r="AG194" i="1"/>
  <c r="AI194" i="1"/>
  <c r="AG190" i="1"/>
  <c r="AI190" i="1"/>
  <c r="AD193" i="1"/>
  <c r="AD186" i="1"/>
  <c r="AG186" i="1" s="1"/>
  <c r="AD188" i="1"/>
  <c r="Q183" i="1"/>
  <c r="Q182" i="1"/>
  <c r="Q181" i="1"/>
  <c r="M183" i="1"/>
  <c r="M182" i="1"/>
  <c r="M181" i="1"/>
  <c r="Q180" i="1"/>
  <c r="M180" i="1"/>
  <c r="Q178" i="1"/>
  <c r="Q177" i="1"/>
  <c r="M178" i="1"/>
  <c r="M177" i="1"/>
  <c r="Q176" i="1"/>
  <c r="Q175" i="1"/>
  <c r="M176" i="1"/>
  <c r="M175" i="1"/>
  <c r="Q172" i="1"/>
  <c r="Q173" i="1"/>
  <c r="M172" i="1"/>
  <c r="M173" i="1"/>
  <c r="Q171" i="1"/>
  <c r="M171" i="1"/>
  <c r="Q170" i="1"/>
  <c r="M170" i="1"/>
  <c r="Q169" i="1"/>
  <c r="M169" i="1"/>
  <c r="CA253" i="1" l="1"/>
  <c r="BU202" i="1"/>
  <c r="BU203" i="1"/>
  <c r="BU201" i="1"/>
  <c r="BU219" i="1"/>
  <c r="BU204" i="1"/>
  <c r="BU200" i="1"/>
  <c r="BU220" i="1"/>
  <c r="BL262" i="1"/>
  <c r="BU197" i="1"/>
  <c r="CA197" i="1" s="1"/>
  <c r="BQ253" i="1"/>
  <c r="BQ248" i="1"/>
  <c r="BU241" i="1"/>
  <c r="BQ228" i="1"/>
  <c r="BQ235" i="1"/>
  <c r="BU233" i="1"/>
  <c r="BQ238" i="1"/>
  <c r="BU236" i="1"/>
  <c r="BL240" i="1"/>
  <c r="BQ239" i="1"/>
  <c r="AY222" i="1"/>
  <c r="AY221" i="1"/>
  <c r="BL218" i="1"/>
  <c r="AY209" i="1"/>
  <c r="BL207" i="1"/>
  <c r="CA207" i="1" s="1"/>
  <c r="AY213" i="1"/>
  <c r="BL210" i="1"/>
  <c r="AY217" i="1"/>
  <c r="BL215" i="1"/>
  <c r="AY205" i="1"/>
  <c r="BL199" i="1"/>
  <c r="AU186" i="1"/>
  <c r="AU187" i="1" s="1"/>
  <c r="AU188" i="1"/>
  <c r="AU191" i="1" s="1"/>
  <c r="AU193" i="1"/>
  <c r="AU195" i="1" s="1"/>
  <c r="AQ221" i="1"/>
  <c r="AQ217" i="1"/>
  <c r="AQ205" i="1"/>
  <c r="AQ209" i="1"/>
  <c r="AQ213" i="1"/>
  <c r="AQ194" i="1"/>
  <c r="AY194" i="1" s="1"/>
  <c r="BL194" i="1" s="1"/>
  <c r="AQ189" i="1"/>
  <c r="AY189" i="1" s="1"/>
  <c r="BL189" i="1" s="1"/>
  <c r="CA189" i="1" s="1"/>
  <c r="AQ190" i="1"/>
  <c r="AY190" i="1" s="1"/>
  <c r="BL190" i="1" s="1"/>
  <c r="CA190" i="1" s="1"/>
  <c r="AQ192" i="1"/>
  <c r="AY192" i="1" s="1"/>
  <c r="BL192" i="1" s="1"/>
  <c r="CA192" i="1" s="1"/>
  <c r="AI186" i="1"/>
  <c r="AI187" i="1" s="1"/>
  <c r="AM186" i="1"/>
  <c r="AC186" i="1"/>
  <c r="AI193" i="1"/>
  <c r="AI195" i="1" s="1"/>
  <c r="AM193" i="1"/>
  <c r="AC193" i="1"/>
  <c r="X223" i="1"/>
  <c r="AI188" i="1"/>
  <c r="AI191" i="1" s="1"/>
  <c r="AM188" i="1"/>
  <c r="AC188" i="1"/>
  <c r="AD191" i="1"/>
  <c r="AG188" i="1"/>
  <c r="AG191" i="1" s="1"/>
  <c r="AD195" i="1"/>
  <c r="AG193" i="1"/>
  <c r="AG195" i="1" s="1"/>
  <c r="AD187" i="1"/>
  <c r="AG187" i="1"/>
  <c r="R177" i="1"/>
  <c r="X177" i="1" s="1"/>
  <c r="R171" i="1"/>
  <c r="X171" i="1" s="1"/>
  <c r="R180" i="1"/>
  <c r="X180" i="1" s="1"/>
  <c r="AD180" i="1" s="1"/>
  <c r="R182" i="1"/>
  <c r="X182" i="1" s="1"/>
  <c r="AD182" i="1" s="1"/>
  <c r="R183" i="1"/>
  <c r="X183" i="1" s="1"/>
  <c r="AD183" i="1" s="1"/>
  <c r="R181" i="1"/>
  <c r="X181" i="1" s="1"/>
  <c r="R178" i="1"/>
  <c r="X178" i="1" s="1"/>
  <c r="AD178" i="1" s="1"/>
  <c r="R169" i="1"/>
  <c r="X169" i="1" s="1"/>
  <c r="AD169" i="1" s="1"/>
  <c r="R175" i="1"/>
  <c r="X175" i="1" s="1"/>
  <c r="AD175" i="1" s="1"/>
  <c r="R176" i="1"/>
  <c r="X176" i="1" s="1"/>
  <c r="AD176" i="1" s="1"/>
  <c r="R173" i="1"/>
  <c r="X173" i="1" s="1"/>
  <c r="AD173" i="1" s="1"/>
  <c r="R172" i="1"/>
  <c r="X172" i="1" s="1"/>
  <c r="AD172" i="1" s="1"/>
  <c r="R170" i="1"/>
  <c r="X170" i="1" s="1"/>
  <c r="AD170" i="1" s="1"/>
  <c r="Q167" i="1"/>
  <c r="Q166" i="1"/>
  <c r="M167" i="1"/>
  <c r="M166" i="1"/>
  <c r="Q165" i="1"/>
  <c r="M165" i="1"/>
  <c r="K164" i="1"/>
  <c r="Q163" i="1"/>
  <c r="Q162" i="1"/>
  <c r="M163" i="1"/>
  <c r="M162" i="1"/>
  <c r="Q161" i="1"/>
  <c r="M161" i="1"/>
  <c r="Q159" i="1"/>
  <c r="Q158" i="1"/>
  <c r="M159" i="1"/>
  <c r="M158" i="1"/>
  <c r="Q157" i="1"/>
  <c r="M157" i="1"/>
  <c r="Q155" i="1"/>
  <c r="Q154" i="1"/>
  <c r="Q153" i="1"/>
  <c r="Q152" i="1"/>
  <c r="Q151" i="1"/>
  <c r="Q150" i="1"/>
  <c r="Q149" i="1"/>
  <c r="Q148" i="1"/>
  <c r="Q147" i="1"/>
  <c r="M148" i="1"/>
  <c r="M149" i="1"/>
  <c r="M150" i="1"/>
  <c r="M151" i="1"/>
  <c r="M152" i="1"/>
  <c r="M153" i="1"/>
  <c r="M154" i="1"/>
  <c r="M155" i="1"/>
  <c r="M147" i="1"/>
  <c r="Q145" i="1"/>
  <c r="Q144" i="1"/>
  <c r="Q143" i="1"/>
  <c r="M145" i="1"/>
  <c r="M144" i="1"/>
  <c r="M143" i="1"/>
  <c r="Q141" i="1"/>
  <c r="Q140" i="1"/>
  <c r="M141" i="1"/>
  <c r="M140" i="1"/>
  <c r="Q138" i="1"/>
  <c r="Q137" i="1"/>
  <c r="M138" i="1"/>
  <c r="M137" i="1"/>
  <c r="Q136" i="1"/>
  <c r="M136" i="1"/>
  <c r="CA233" i="1" l="1"/>
  <c r="CA220" i="1"/>
  <c r="CA203" i="1"/>
  <c r="CA200" i="1"/>
  <c r="CA201" i="1"/>
  <c r="CA202" i="1"/>
  <c r="CA236" i="1"/>
  <c r="CA204" i="1"/>
  <c r="CA209" i="1"/>
  <c r="CA241" i="1"/>
  <c r="CA219" i="1"/>
  <c r="BQ189" i="1"/>
  <c r="BQ194" i="1"/>
  <c r="BU194" i="1" s="1"/>
  <c r="BU235" i="1"/>
  <c r="BU248" i="1"/>
  <c r="BQ190" i="1"/>
  <c r="BU238" i="1"/>
  <c r="BU228" i="1"/>
  <c r="BU253" i="1"/>
  <c r="BQ192" i="1"/>
  <c r="AU223" i="1"/>
  <c r="BQ262" i="1"/>
  <c r="BQ240" i="1"/>
  <c r="BL205" i="1"/>
  <c r="BQ199" i="1"/>
  <c r="BU199" i="1" s="1"/>
  <c r="BL217" i="1"/>
  <c r="BQ215" i="1"/>
  <c r="BU215" i="1" s="1"/>
  <c r="BL213" i="1"/>
  <c r="BQ210" i="1"/>
  <c r="BL209" i="1"/>
  <c r="BQ207" i="1"/>
  <c r="BL221" i="1"/>
  <c r="BQ218" i="1"/>
  <c r="BU218" i="1" s="1"/>
  <c r="BL222" i="1"/>
  <c r="AI223" i="1"/>
  <c r="AU178" i="1"/>
  <c r="AU172" i="1"/>
  <c r="AU169" i="1"/>
  <c r="AU182" i="1"/>
  <c r="AU170" i="1"/>
  <c r="AU175" i="1"/>
  <c r="AU183" i="1"/>
  <c r="AU176" i="1"/>
  <c r="AU173" i="1"/>
  <c r="AU180" i="1"/>
  <c r="AC187" i="1"/>
  <c r="AC191" i="1"/>
  <c r="AQ188" i="1"/>
  <c r="AY188" i="1" s="1"/>
  <c r="AC195" i="1"/>
  <c r="R141" i="1"/>
  <c r="X141" i="1" s="1"/>
  <c r="AD141" i="1" s="1"/>
  <c r="AQ186" i="1"/>
  <c r="AY186" i="1" s="1"/>
  <c r="X184" i="1"/>
  <c r="X174" i="1"/>
  <c r="AQ193" i="1"/>
  <c r="AY193" i="1" s="1"/>
  <c r="AM173" i="1"/>
  <c r="AC173" i="1"/>
  <c r="AM178" i="1"/>
  <c r="AC178" i="1"/>
  <c r="AM191" i="1"/>
  <c r="AM169" i="1"/>
  <c r="AC169" i="1"/>
  <c r="AM182" i="1"/>
  <c r="AC182" i="1"/>
  <c r="AM195" i="1"/>
  <c r="AM170" i="1"/>
  <c r="AC170" i="1"/>
  <c r="AM175" i="1"/>
  <c r="AC175" i="1"/>
  <c r="AM183" i="1"/>
  <c r="AC183" i="1"/>
  <c r="X179" i="1"/>
  <c r="AM176" i="1"/>
  <c r="AC176" i="1"/>
  <c r="AM180" i="1"/>
  <c r="AC180" i="1"/>
  <c r="AM172" i="1"/>
  <c r="AC172" i="1"/>
  <c r="AM187" i="1"/>
  <c r="R144" i="1"/>
  <c r="X144" i="1" s="1"/>
  <c r="AD144" i="1" s="1"/>
  <c r="AD223" i="1"/>
  <c r="AG173" i="1"/>
  <c r="AI173" i="1"/>
  <c r="AG172" i="1"/>
  <c r="AI172" i="1"/>
  <c r="AG169" i="1"/>
  <c r="AI169" i="1"/>
  <c r="AG182" i="1"/>
  <c r="AI182" i="1"/>
  <c r="AG176" i="1"/>
  <c r="AI176" i="1"/>
  <c r="AG178" i="1"/>
  <c r="AI178" i="1"/>
  <c r="AG180" i="1"/>
  <c r="AI180" i="1"/>
  <c r="AG170" i="1"/>
  <c r="AI170" i="1"/>
  <c r="AG175" i="1"/>
  <c r="AI175" i="1"/>
  <c r="AG183" i="1"/>
  <c r="AI183" i="1"/>
  <c r="R145" i="1"/>
  <c r="X145" i="1" s="1"/>
  <c r="AD145" i="1" s="1"/>
  <c r="R149" i="1"/>
  <c r="X149" i="1" s="1"/>
  <c r="AD149" i="1" s="1"/>
  <c r="AG223" i="1"/>
  <c r="AD177" i="1"/>
  <c r="R153" i="1"/>
  <c r="X153" i="1" s="1"/>
  <c r="AD153" i="1" s="1"/>
  <c r="R157" i="1"/>
  <c r="AD181" i="1"/>
  <c r="AD171" i="1"/>
  <c r="R147" i="1"/>
  <c r="X147" i="1" s="1"/>
  <c r="R162" i="1"/>
  <c r="X162" i="1" s="1"/>
  <c r="R155" i="1"/>
  <c r="X155" i="1" s="1"/>
  <c r="AD155" i="1" s="1"/>
  <c r="R151" i="1"/>
  <c r="X151" i="1" s="1"/>
  <c r="AD151" i="1" s="1"/>
  <c r="R154" i="1"/>
  <c r="X154" i="1" s="1"/>
  <c r="AD154" i="1" s="1"/>
  <c r="R152" i="1"/>
  <c r="X152" i="1" s="1"/>
  <c r="AD152" i="1" s="1"/>
  <c r="R163" i="1"/>
  <c r="X163" i="1" s="1"/>
  <c r="AD163" i="1" s="1"/>
  <c r="R137" i="1"/>
  <c r="X137" i="1" s="1"/>
  <c r="R150" i="1"/>
  <c r="X150" i="1" s="1"/>
  <c r="AD150" i="1" s="1"/>
  <c r="R140" i="1"/>
  <c r="X140" i="1" s="1"/>
  <c r="R166" i="1"/>
  <c r="X166" i="1" s="1"/>
  <c r="R138" i="1"/>
  <c r="X138" i="1" s="1"/>
  <c r="AD138" i="1" s="1"/>
  <c r="R167" i="1"/>
  <c r="X167" i="1" s="1"/>
  <c r="AD167" i="1" s="1"/>
  <c r="R165" i="1"/>
  <c r="X165" i="1" s="1"/>
  <c r="AD165" i="1" s="1"/>
  <c r="R161" i="1"/>
  <c r="X161" i="1" s="1"/>
  <c r="AD161" i="1" s="1"/>
  <c r="R159" i="1"/>
  <c r="X159" i="1" s="1"/>
  <c r="R158" i="1"/>
  <c r="X158" i="1" s="1"/>
  <c r="AD158" i="1" s="1"/>
  <c r="R148" i="1"/>
  <c r="X148" i="1" s="1"/>
  <c r="AD148" i="1" s="1"/>
  <c r="R143" i="1"/>
  <c r="X143" i="1" s="1"/>
  <c r="R136" i="1"/>
  <c r="X136" i="1" s="1"/>
  <c r="AD136" i="1" s="1"/>
  <c r="CA248" i="1" l="1"/>
  <c r="CA262" i="1" s="1"/>
  <c r="CA215" i="1"/>
  <c r="CA238" i="1"/>
  <c r="CA199" i="1"/>
  <c r="CA235" i="1"/>
  <c r="AI141" i="1"/>
  <c r="CA218" i="1"/>
  <c r="CA194" i="1"/>
  <c r="BU262" i="1"/>
  <c r="BU240" i="1"/>
  <c r="BQ222" i="1"/>
  <c r="BU222" i="1" s="1"/>
  <c r="BQ221" i="1"/>
  <c r="BQ209" i="1"/>
  <c r="BU209" i="1"/>
  <c r="BQ213" i="1"/>
  <c r="BU210" i="1"/>
  <c r="BQ217" i="1"/>
  <c r="BQ205" i="1"/>
  <c r="AM223" i="1"/>
  <c r="AY187" i="1"/>
  <c r="BL186" i="1"/>
  <c r="CA186" i="1" s="1"/>
  <c r="AY195" i="1"/>
  <c r="BL193" i="1"/>
  <c r="AY191" i="1"/>
  <c r="BL188" i="1"/>
  <c r="AQ191" i="1"/>
  <c r="AU154" i="1"/>
  <c r="AU145" i="1"/>
  <c r="AU165" i="1"/>
  <c r="AU149" i="1"/>
  <c r="AU161" i="1"/>
  <c r="AU163" i="1"/>
  <c r="AU155" i="1"/>
  <c r="AU181" i="1"/>
  <c r="AU184" i="1" s="1"/>
  <c r="AU138" i="1"/>
  <c r="AU151" i="1"/>
  <c r="AU171" i="1"/>
  <c r="AU174" i="1" s="1"/>
  <c r="AU177" i="1"/>
  <c r="AU179" i="1" s="1"/>
  <c r="AU167" i="1"/>
  <c r="AU136" i="1"/>
  <c r="AU158" i="1"/>
  <c r="AU150" i="1"/>
  <c r="AU153" i="1"/>
  <c r="AU148" i="1"/>
  <c r="AU152" i="1"/>
  <c r="X160" i="1"/>
  <c r="AG144" i="1"/>
  <c r="AU144" i="1"/>
  <c r="AC223" i="1"/>
  <c r="AG141" i="1"/>
  <c r="AU141" i="1"/>
  <c r="X146" i="1"/>
  <c r="X168" i="1"/>
  <c r="AQ172" i="1"/>
  <c r="AY172" i="1" s="1"/>
  <c r="BL172" i="1" s="1"/>
  <c r="AQ195" i="1"/>
  <c r="AQ187" i="1"/>
  <c r="AM141" i="1"/>
  <c r="AC141" i="1"/>
  <c r="X142" i="1"/>
  <c r="AI144" i="1"/>
  <c r="AQ183" i="1"/>
  <c r="AY183" i="1" s="1"/>
  <c r="BL183" i="1" s="1"/>
  <c r="AQ170" i="1"/>
  <c r="AY170" i="1" s="1"/>
  <c r="BL170" i="1" s="1"/>
  <c r="CA170" i="1" s="1"/>
  <c r="AQ178" i="1"/>
  <c r="AY178" i="1" s="1"/>
  <c r="BL178" i="1" s="1"/>
  <c r="AQ182" i="1"/>
  <c r="AY182" i="1" s="1"/>
  <c r="BL182" i="1" s="1"/>
  <c r="CA182" i="1" s="1"/>
  <c r="AQ175" i="1"/>
  <c r="AY175" i="1" s="1"/>
  <c r="BL175" i="1" s="1"/>
  <c r="AQ173" i="1"/>
  <c r="AY173" i="1" s="1"/>
  <c r="BL173" i="1" s="1"/>
  <c r="AQ180" i="1"/>
  <c r="AY180" i="1" s="1"/>
  <c r="BL180" i="1" s="1"/>
  <c r="AQ176" i="1"/>
  <c r="AY176" i="1" s="1"/>
  <c r="BL176" i="1" s="1"/>
  <c r="AQ169" i="1"/>
  <c r="AY169" i="1" s="1"/>
  <c r="BL169" i="1" s="1"/>
  <c r="CA169" i="1" s="1"/>
  <c r="AM161" i="1"/>
  <c r="AC161" i="1"/>
  <c r="AM163" i="1"/>
  <c r="AC163" i="1"/>
  <c r="AM136" i="1"/>
  <c r="AC136" i="1"/>
  <c r="AM138" i="1"/>
  <c r="AC138" i="1"/>
  <c r="AM151" i="1"/>
  <c r="AC151" i="1"/>
  <c r="AI177" i="1"/>
  <c r="AM177" i="1"/>
  <c r="AC177" i="1"/>
  <c r="AM158" i="1"/>
  <c r="AC158" i="1"/>
  <c r="AM150" i="1"/>
  <c r="AC150" i="1"/>
  <c r="AM148" i="1"/>
  <c r="AC148" i="1"/>
  <c r="AM165" i="1"/>
  <c r="AC165" i="1"/>
  <c r="AM152" i="1"/>
  <c r="AC152" i="1"/>
  <c r="X157" i="1"/>
  <c r="AD157" i="1" s="1"/>
  <c r="AM149" i="1"/>
  <c r="AC149" i="1"/>
  <c r="AM144" i="1"/>
  <c r="AC144" i="1"/>
  <c r="X164" i="1"/>
  <c r="AM155" i="1"/>
  <c r="AC155" i="1"/>
  <c r="AI181" i="1"/>
  <c r="AI184" i="1" s="1"/>
  <c r="AM181" i="1"/>
  <c r="AC181" i="1"/>
  <c r="AI171" i="1"/>
  <c r="AI174" i="1" s="1"/>
  <c r="AM171" i="1"/>
  <c r="AC171" i="1"/>
  <c r="AM167" i="1"/>
  <c r="AC167" i="1"/>
  <c r="AM154" i="1"/>
  <c r="AC154" i="1"/>
  <c r="AM153" i="1"/>
  <c r="AC153" i="1"/>
  <c r="AM145" i="1"/>
  <c r="AC145" i="1"/>
  <c r="X139" i="1"/>
  <c r="X156" i="1"/>
  <c r="AG158" i="1"/>
  <c r="AI158" i="1"/>
  <c r="AG150" i="1"/>
  <c r="AI150" i="1"/>
  <c r="AG148" i="1"/>
  <c r="AI148" i="1"/>
  <c r="AG165" i="1"/>
  <c r="AI165" i="1"/>
  <c r="AG152" i="1"/>
  <c r="AI152" i="1"/>
  <c r="AG145" i="1"/>
  <c r="AI145" i="1"/>
  <c r="AG161" i="1"/>
  <c r="AI161" i="1"/>
  <c r="AG163" i="1"/>
  <c r="AI163" i="1"/>
  <c r="AG155" i="1"/>
  <c r="AI155" i="1"/>
  <c r="AG153" i="1"/>
  <c r="AI153" i="1"/>
  <c r="AG149" i="1"/>
  <c r="AI149" i="1"/>
  <c r="AG167" i="1"/>
  <c r="AI167" i="1"/>
  <c r="AG154" i="1"/>
  <c r="AI154" i="1"/>
  <c r="AG136" i="1"/>
  <c r="AI136" i="1"/>
  <c r="AG138" i="1"/>
  <c r="AI138" i="1"/>
  <c r="AG151" i="1"/>
  <c r="AI151" i="1"/>
  <c r="AD179" i="1"/>
  <c r="AG177" i="1"/>
  <c r="AG179" i="1" s="1"/>
  <c r="AD174" i="1"/>
  <c r="AG171" i="1"/>
  <c r="AG174" i="1" s="1"/>
  <c r="AD184" i="1"/>
  <c r="AG181" i="1"/>
  <c r="AG184" i="1" s="1"/>
  <c r="AD140" i="1"/>
  <c r="AD162" i="1"/>
  <c r="AD143" i="1"/>
  <c r="AD166" i="1"/>
  <c r="AD147" i="1"/>
  <c r="AD159" i="1"/>
  <c r="AD137" i="1"/>
  <c r="Q133" i="1"/>
  <c r="M133" i="1"/>
  <c r="Q132" i="1"/>
  <c r="M132" i="1"/>
  <c r="Q127" i="1"/>
  <c r="Q128" i="1"/>
  <c r="Q129" i="1"/>
  <c r="Q130" i="1"/>
  <c r="Q131" i="1"/>
  <c r="M127" i="1"/>
  <c r="M128" i="1"/>
  <c r="M129" i="1"/>
  <c r="M130" i="1"/>
  <c r="M131" i="1"/>
  <c r="M126" i="1"/>
  <c r="Q126" i="1"/>
  <c r="Q124" i="1"/>
  <c r="Q123" i="1"/>
  <c r="M124" i="1"/>
  <c r="M123" i="1"/>
  <c r="Q121" i="1"/>
  <c r="Q120" i="1"/>
  <c r="M121" i="1"/>
  <c r="M120" i="1"/>
  <c r="M119" i="1"/>
  <c r="Q119" i="1"/>
  <c r="Q118" i="1"/>
  <c r="M118" i="1"/>
  <c r="Q116" i="1"/>
  <c r="Q115" i="1"/>
  <c r="M116" i="1"/>
  <c r="M115" i="1"/>
  <c r="Q114" i="1"/>
  <c r="M114" i="1"/>
  <c r="Q112" i="1"/>
  <c r="Q111" i="1"/>
  <c r="M112" i="1"/>
  <c r="M111" i="1"/>
  <c r="Q109" i="1"/>
  <c r="Q108" i="1"/>
  <c r="M109" i="1"/>
  <c r="M108" i="1"/>
  <c r="Q106" i="1"/>
  <c r="M106" i="1"/>
  <c r="Q105" i="1"/>
  <c r="M105" i="1"/>
  <c r="Q103" i="1"/>
  <c r="M103" i="1"/>
  <c r="Q102" i="1"/>
  <c r="M102" i="1"/>
  <c r="Q100" i="1"/>
  <c r="M100" i="1"/>
  <c r="Q99" i="1"/>
  <c r="M99" i="1"/>
  <c r="Q97" i="1"/>
  <c r="M97" i="1"/>
  <c r="Q96" i="1"/>
  <c r="M96" i="1"/>
  <c r="Q95" i="1"/>
  <c r="M95" i="1"/>
  <c r="Q94" i="1"/>
  <c r="M94" i="1"/>
  <c r="Q92" i="1"/>
  <c r="M92" i="1"/>
  <c r="Q91" i="1"/>
  <c r="M91" i="1"/>
  <c r="Q90" i="1"/>
  <c r="M90" i="1"/>
  <c r="CA222" i="1" l="1"/>
  <c r="CA210" i="1"/>
  <c r="CA205" i="1"/>
  <c r="CA217" i="1"/>
  <c r="CA221" i="1"/>
  <c r="CA240" i="1"/>
  <c r="CA187" i="1"/>
  <c r="BQ180" i="1"/>
  <c r="BU180" i="1" s="1"/>
  <c r="CA180" i="1" s="1"/>
  <c r="BQ173" i="1"/>
  <c r="BQ170" i="1"/>
  <c r="BQ172" i="1"/>
  <c r="BU205" i="1"/>
  <c r="BU213" i="1"/>
  <c r="BU221" i="1"/>
  <c r="BQ176" i="1"/>
  <c r="BU176" i="1" s="1"/>
  <c r="CA176" i="1" s="1"/>
  <c r="BQ182" i="1"/>
  <c r="BU217" i="1"/>
  <c r="BQ178" i="1"/>
  <c r="BU178" i="1" s="1"/>
  <c r="CA178" i="1" s="1"/>
  <c r="BQ169" i="1"/>
  <c r="BQ175" i="1"/>
  <c r="BU175" i="1" s="1"/>
  <c r="CA175" i="1" s="1"/>
  <c r="BQ183" i="1"/>
  <c r="BU183" i="1" s="1"/>
  <c r="CA183" i="1" s="1"/>
  <c r="AQ223" i="1"/>
  <c r="BL191" i="1"/>
  <c r="BQ188" i="1"/>
  <c r="BU188" i="1" s="1"/>
  <c r="BL195" i="1"/>
  <c r="BQ193" i="1"/>
  <c r="BU193" i="1" s="1"/>
  <c r="BL187" i="1"/>
  <c r="BQ186" i="1"/>
  <c r="AY223" i="1"/>
  <c r="AQ141" i="1"/>
  <c r="AU147" i="1"/>
  <c r="AU156" i="1" s="1"/>
  <c r="AU159" i="1"/>
  <c r="AU160" i="1" s="1"/>
  <c r="AU162" i="1"/>
  <c r="AU164" i="1" s="1"/>
  <c r="AI179" i="1"/>
  <c r="AU137" i="1"/>
  <c r="AU139" i="1" s="1"/>
  <c r="AU143" i="1"/>
  <c r="AU146" i="1" s="1"/>
  <c r="AU166" i="1"/>
  <c r="AU168" i="1" s="1"/>
  <c r="AU140" i="1"/>
  <c r="AU142" i="1" s="1"/>
  <c r="AU157" i="1"/>
  <c r="AC174" i="1"/>
  <c r="AQ144" i="1"/>
  <c r="AY144" i="1" s="1"/>
  <c r="BL144" i="1" s="1"/>
  <c r="AC184" i="1"/>
  <c r="AC179" i="1"/>
  <c r="AQ149" i="1"/>
  <c r="AY149" i="1" s="1"/>
  <c r="BL149" i="1" s="1"/>
  <c r="AQ158" i="1"/>
  <c r="AY158" i="1" s="1"/>
  <c r="BL158" i="1" s="1"/>
  <c r="CA158" i="1" s="1"/>
  <c r="AQ163" i="1"/>
  <c r="AY163" i="1" s="1"/>
  <c r="BL163" i="1" s="1"/>
  <c r="AQ153" i="1"/>
  <c r="AY153" i="1" s="1"/>
  <c r="BL153" i="1" s="1"/>
  <c r="AQ167" i="1"/>
  <c r="AY167" i="1" s="1"/>
  <c r="BL167" i="1" s="1"/>
  <c r="AQ165" i="1"/>
  <c r="AY165" i="1" s="1"/>
  <c r="BL165" i="1" s="1"/>
  <c r="AQ150" i="1"/>
  <c r="AY150" i="1" s="1"/>
  <c r="BL150" i="1" s="1"/>
  <c r="AQ138" i="1"/>
  <c r="AY138" i="1" s="1"/>
  <c r="BL138" i="1" s="1"/>
  <c r="CA138" i="1" s="1"/>
  <c r="AQ171" i="1"/>
  <c r="AY171" i="1" s="1"/>
  <c r="AQ145" i="1"/>
  <c r="AY145" i="1" s="1"/>
  <c r="BL145" i="1" s="1"/>
  <c r="AQ154" i="1"/>
  <c r="AY154" i="1" s="1"/>
  <c r="BL154" i="1" s="1"/>
  <c r="AQ181" i="1"/>
  <c r="AY181" i="1" s="1"/>
  <c r="AQ152" i="1"/>
  <c r="AY152" i="1" s="1"/>
  <c r="BL152" i="1" s="1"/>
  <c r="AQ148" i="1"/>
  <c r="AY148" i="1" s="1"/>
  <c r="BL148" i="1" s="1"/>
  <c r="AQ177" i="1"/>
  <c r="AY177" i="1" s="1"/>
  <c r="AQ136" i="1"/>
  <c r="AY136" i="1" s="1"/>
  <c r="BL136" i="1" s="1"/>
  <c r="CA136" i="1" s="1"/>
  <c r="AQ161" i="1"/>
  <c r="AY161" i="1" s="1"/>
  <c r="BL161" i="1" s="1"/>
  <c r="AQ155" i="1"/>
  <c r="AY155" i="1" s="1"/>
  <c r="BL155" i="1" s="1"/>
  <c r="X185" i="1"/>
  <c r="AQ151" i="1"/>
  <c r="AY151" i="1" s="1"/>
  <c r="BL151" i="1" s="1"/>
  <c r="AC157" i="1"/>
  <c r="AM157" i="1"/>
  <c r="AI157" i="1"/>
  <c r="AG157" i="1"/>
  <c r="AI147" i="1"/>
  <c r="AM147" i="1"/>
  <c r="AC147" i="1"/>
  <c r="AI159" i="1"/>
  <c r="AI160" i="1" s="1"/>
  <c r="AM159" i="1"/>
  <c r="AC159" i="1"/>
  <c r="AI137" i="1"/>
  <c r="AI139" i="1" s="1"/>
  <c r="AM137" i="1"/>
  <c r="AC137" i="1"/>
  <c r="AI166" i="1"/>
  <c r="AI168" i="1" s="1"/>
  <c r="AM166" i="1"/>
  <c r="AC166" i="1"/>
  <c r="R106" i="1"/>
  <c r="X106" i="1" s="1"/>
  <c r="AD106" i="1" s="1"/>
  <c r="R126" i="1"/>
  <c r="X126" i="1" s="1"/>
  <c r="AD126" i="1" s="1"/>
  <c r="AI140" i="1"/>
  <c r="AI142" i="1" s="1"/>
  <c r="AM140" i="1"/>
  <c r="AC140" i="1"/>
  <c r="AI162" i="1"/>
  <c r="AI164" i="1" s="1"/>
  <c r="AM162" i="1"/>
  <c r="AC162" i="1"/>
  <c r="AM179" i="1"/>
  <c r="AI143" i="1"/>
  <c r="AI146" i="1" s="1"/>
  <c r="AM143" i="1"/>
  <c r="AC143" i="1"/>
  <c r="AM174" i="1"/>
  <c r="AM184" i="1"/>
  <c r="R102" i="1"/>
  <c r="X102" i="1" s="1"/>
  <c r="AD102" i="1" s="1"/>
  <c r="AD146" i="1"/>
  <c r="AG143" i="1"/>
  <c r="AG146" i="1" s="1"/>
  <c r="AD142" i="1"/>
  <c r="AG140" i="1"/>
  <c r="AG142" i="1" s="1"/>
  <c r="AD139" i="1"/>
  <c r="AG137" i="1"/>
  <c r="AG139" i="1" s="1"/>
  <c r="AD156" i="1"/>
  <c r="AG147" i="1"/>
  <c r="AG156" i="1" s="1"/>
  <c r="AD168" i="1"/>
  <c r="AG166" i="1"/>
  <c r="AG168" i="1" s="1"/>
  <c r="AD164" i="1"/>
  <c r="AG162" i="1"/>
  <c r="AG164" i="1" s="1"/>
  <c r="AD160" i="1"/>
  <c r="AG159" i="1"/>
  <c r="AG160" i="1" s="1"/>
  <c r="R119" i="1"/>
  <c r="X119" i="1" s="1"/>
  <c r="AD119" i="1" s="1"/>
  <c r="R124" i="1"/>
  <c r="X124" i="1" s="1"/>
  <c r="AD124" i="1" s="1"/>
  <c r="R114" i="1"/>
  <c r="X114" i="1" s="1"/>
  <c r="AD114" i="1" s="1"/>
  <c r="R103" i="1"/>
  <c r="X103" i="1" s="1"/>
  <c r="AD103" i="1" s="1"/>
  <c r="R116" i="1"/>
  <c r="X116" i="1" s="1"/>
  <c r="AD116" i="1" s="1"/>
  <c r="R96" i="1"/>
  <c r="X96" i="1" s="1"/>
  <c r="R97" i="1"/>
  <c r="X97" i="1" s="1"/>
  <c r="AD97" i="1" s="1"/>
  <c r="R100" i="1"/>
  <c r="X100" i="1" s="1"/>
  <c r="AD100" i="1" s="1"/>
  <c r="R132" i="1"/>
  <c r="X132" i="1" s="1"/>
  <c r="R91" i="1"/>
  <c r="X91" i="1" s="1"/>
  <c r="X93" i="1" s="1"/>
  <c r="R131" i="1"/>
  <c r="X131" i="1" s="1"/>
  <c r="AD131" i="1" s="1"/>
  <c r="R133" i="1"/>
  <c r="X133" i="1" s="1"/>
  <c r="AD133" i="1" s="1"/>
  <c r="R95" i="1"/>
  <c r="X95" i="1" s="1"/>
  <c r="AD95" i="1" s="1"/>
  <c r="R118" i="1"/>
  <c r="X118" i="1" s="1"/>
  <c r="AD118" i="1" s="1"/>
  <c r="R99" i="1"/>
  <c r="X99" i="1" s="1"/>
  <c r="R90" i="1"/>
  <c r="X90" i="1" s="1"/>
  <c r="AD90" i="1" s="1"/>
  <c r="R105" i="1"/>
  <c r="X105" i="1" s="1"/>
  <c r="R130" i="1"/>
  <c r="X130" i="1" s="1"/>
  <c r="AD130" i="1" s="1"/>
  <c r="R129" i="1"/>
  <c r="X129" i="1" s="1"/>
  <c r="AD129" i="1" s="1"/>
  <c r="R128" i="1"/>
  <c r="X128" i="1" s="1"/>
  <c r="AD128" i="1" s="1"/>
  <c r="R127" i="1"/>
  <c r="X127" i="1" s="1"/>
  <c r="AD127" i="1" s="1"/>
  <c r="R123" i="1"/>
  <c r="X123" i="1" s="1"/>
  <c r="X125" i="1" s="1"/>
  <c r="R121" i="1"/>
  <c r="X121" i="1" s="1"/>
  <c r="AD121" i="1" s="1"/>
  <c r="R120" i="1"/>
  <c r="X120" i="1" s="1"/>
  <c r="R115" i="1"/>
  <c r="X115" i="1" s="1"/>
  <c r="X117" i="1" s="1"/>
  <c r="R112" i="1"/>
  <c r="X112" i="1" s="1"/>
  <c r="AD112" i="1" s="1"/>
  <c r="R111" i="1"/>
  <c r="X111" i="1" s="1"/>
  <c r="R109" i="1"/>
  <c r="X109" i="1" s="1"/>
  <c r="AD109" i="1" s="1"/>
  <c r="R108" i="1"/>
  <c r="X108" i="1" s="1"/>
  <c r="R94" i="1"/>
  <c r="X94" i="1" s="1"/>
  <c r="AD94" i="1" s="1"/>
  <c r="CA188" i="1" l="1"/>
  <c r="CA213" i="1"/>
  <c r="CA193" i="1"/>
  <c r="CA195" i="1" s="1"/>
  <c r="BU172" i="1"/>
  <c r="BU173" i="1"/>
  <c r="BQ151" i="1"/>
  <c r="BU151" i="1" s="1"/>
  <c r="CA151" i="1" s="1"/>
  <c r="BQ153" i="1"/>
  <c r="BU153" i="1" s="1"/>
  <c r="CA153" i="1" s="1"/>
  <c r="BQ161" i="1"/>
  <c r="BU161" i="1" s="1"/>
  <c r="CA161" i="1" s="1"/>
  <c r="BQ152" i="1"/>
  <c r="BU152" i="1" s="1"/>
  <c r="CA152" i="1" s="1"/>
  <c r="BQ167" i="1"/>
  <c r="BU167" i="1" s="1"/>
  <c r="CA167" i="1" s="1"/>
  <c r="BQ149" i="1"/>
  <c r="BU149" i="1" s="1"/>
  <c r="CA149" i="1" s="1"/>
  <c r="BQ155" i="1"/>
  <c r="BU155" i="1" s="1"/>
  <c r="CA155" i="1" s="1"/>
  <c r="BQ148" i="1"/>
  <c r="BU148" i="1" s="1"/>
  <c r="CA148" i="1" s="1"/>
  <c r="BQ145" i="1"/>
  <c r="BQ165" i="1"/>
  <c r="BU165" i="1" s="1"/>
  <c r="CA165" i="1" s="1"/>
  <c r="BQ158" i="1"/>
  <c r="BQ154" i="1"/>
  <c r="BU154" i="1" s="1"/>
  <c r="CA154" i="1" s="1"/>
  <c r="BQ150" i="1"/>
  <c r="BU150" i="1" s="1"/>
  <c r="CA150" i="1" s="1"/>
  <c r="BQ163" i="1"/>
  <c r="BU163" i="1" s="1"/>
  <c r="CA163" i="1" s="1"/>
  <c r="BQ187" i="1"/>
  <c r="BQ195" i="1"/>
  <c r="BQ191" i="1"/>
  <c r="BN136" i="1"/>
  <c r="BQ136" i="1"/>
  <c r="BN138" i="1"/>
  <c r="BQ138" i="1"/>
  <c r="BN144" i="1"/>
  <c r="BQ144" i="1"/>
  <c r="BL223" i="1"/>
  <c r="BN145" i="1"/>
  <c r="AU185" i="1"/>
  <c r="AY174" i="1"/>
  <c r="BL171" i="1"/>
  <c r="AY184" i="1"/>
  <c r="BL181" i="1"/>
  <c r="AY179" i="1"/>
  <c r="BL177" i="1"/>
  <c r="AY141" i="1"/>
  <c r="BL141" i="1" s="1"/>
  <c r="BD136" i="1"/>
  <c r="AU94" i="1"/>
  <c r="AU130" i="1"/>
  <c r="AU129" i="1"/>
  <c r="AU128" i="1"/>
  <c r="AU133" i="1"/>
  <c r="AU100" i="1"/>
  <c r="AU102" i="1"/>
  <c r="AU127" i="1"/>
  <c r="AU95" i="1"/>
  <c r="AU116" i="1"/>
  <c r="AU119" i="1"/>
  <c r="BA136" i="1"/>
  <c r="AI156" i="1"/>
  <c r="AI185" i="1" s="1"/>
  <c r="AU124" i="1"/>
  <c r="AU106" i="1"/>
  <c r="AU118" i="1"/>
  <c r="AU97" i="1"/>
  <c r="AU114" i="1"/>
  <c r="AU112" i="1"/>
  <c r="AU131" i="1"/>
  <c r="AU90" i="1"/>
  <c r="AU103" i="1"/>
  <c r="AC160" i="1"/>
  <c r="AC168" i="1"/>
  <c r="AC139" i="1"/>
  <c r="AC146" i="1"/>
  <c r="AG126" i="1"/>
  <c r="AU126" i="1"/>
  <c r="AC164" i="1"/>
  <c r="AC156" i="1"/>
  <c r="AC142" i="1"/>
  <c r="AQ179" i="1"/>
  <c r="AQ184" i="1"/>
  <c r="AQ174" i="1"/>
  <c r="X101" i="1"/>
  <c r="AQ157" i="1"/>
  <c r="AY157" i="1" s="1"/>
  <c r="BL157" i="1" s="1"/>
  <c r="AQ140" i="1"/>
  <c r="AY140" i="1" s="1"/>
  <c r="BL140" i="1" s="1"/>
  <c r="AI126" i="1"/>
  <c r="AQ143" i="1"/>
  <c r="AY143" i="1" s="1"/>
  <c r="AQ162" i="1"/>
  <c r="AY162" i="1" s="1"/>
  <c r="AQ159" i="1"/>
  <c r="AY159" i="1" s="1"/>
  <c r="AQ147" i="1"/>
  <c r="AY147" i="1" s="1"/>
  <c r="X98" i="1"/>
  <c r="AQ166" i="1"/>
  <c r="AY166" i="1" s="1"/>
  <c r="AQ137" i="1"/>
  <c r="AY137" i="1" s="1"/>
  <c r="AM94" i="1"/>
  <c r="AC94" i="1"/>
  <c r="AM118" i="1"/>
  <c r="AC118" i="1"/>
  <c r="AM129" i="1"/>
  <c r="AC129" i="1"/>
  <c r="AM97" i="1"/>
  <c r="AC97" i="1"/>
  <c r="AM146" i="1"/>
  <c r="AM106" i="1"/>
  <c r="AC106" i="1"/>
  <c r="AM109" i="1"/>
  <c r="AC109" i="1"/>
  <c r="AM128" i="1"/>
  <c r="AC128" i="1"/>
  <c r="AM127" i="1"/>
  <c r="AC127" i="1"/>
  <c r="AM95" i="1"/>
  <c r="AC95" i="1"/>
  <c r="AM116" i="1"/>
  <c r="AC116" i="1"/>
  <c r="AM119" i="1"/>
  <c r="AC119" i="1"/>
  <c r="AM164" i="1"/>
  <c r="AM142" i="1"/>
  <c r="AM168" i="1"/>
  <c r="AM139" i="1"/>
  <c r="AM160" i="1"/>
  <c r="AM156" i="1"/>
  <c r="X113" i="1"/>
  <c r="X110" i="1"/>
  <c r="X107" i="1"/>
  <c r="X134" i="1"/>
  <c r="AI106" i="1"/>
  <c r="AM112" i="1"/>
  <c r="AC112" i="1"/>
  <c r="AM130" i="1"/>
  <c r="AC130" i="1"/>
  <c r="AM124" i="1"/>
  <c r="AC124" i="1"/>
  <c r="AM121" i="1"/>
  <c r="AC121" i="1"/>
  <c r="AM131" i="1"/>
  <c r="AC131" i="1"/>
  <c r="AM114" i="1"/>
  <c r="AC114" i="1"/>
  <c r="AM90" i="1"/>
  <c r="AC90" i="1"/>
  <c r="AM133" i="1"/>
  <c r="AC133" i="1"/>
  <c r="AM100" i="1"/>
  <c r="AC100" i="1"/>
  <c r="AM103" i="1"/>
  <c r="AC103" i="1"/>
  <c r="AM102" i="1"/>
  <c r="AC102" i="1"/>
  <c r="AM126" i="1"/>
  <c r="AC126" i="1"/>
  <c r="X122" i="1"/>
  <c r="AG106" i="1"/>
  <c r="X104" i="1"/>
  <c r="AG94" i="1"/>
  <c r="AI94" i="1"/>
  <c r="AG130" i="1"/>
  <c r="AI130" i="1"/>
  <c r="AG129" i="1"/>
  <c r="AI129" i="1"/>
  <c r="AG97" i="1"/>
  <c r="AI97" i="1"/>
  <c r="AG109" i="1"/>
  <c r="AI109" i="1"/>
  <c r="AG128" i="1"/>
  <c r="AI128" i="1"/>
  <c r="AG90" i="1"/>
  <c r="AI90" i="1"/>
  <c r="AG133" i="1"/>
  <c r="AI133" i="1"/>
  <c r="AG100" i="1"/>
  <c r="AI100" i="1"/>
  <c r="AG103" i="1"/>
  <c r="AI103" i="1"/>
  <c r="AG102" i="1"/>
  <c r="AI102" i="1"/>
  <c r="AG112" i="1"/>
  <c r="AI112" i="1"/>
  <c r="AG118" i="1"/>
  <c r="AI118" i="1"/>
  <c r="AG121" i="1"/>
  <c r="AI121" i="1"/>
  <c r="AG131" i="1"/>
  <c r="AI131" i="1"/>
  <c r="AG114" i="1"/>
  <c r="AI114" i="1"/>
  <c r="AG127" i="1"/>
  <c r="AI127" i="1"/>
  <c r="AG95" i="1"/>
  <c r="AI95" i="1"/>
  <c r="AG116" i="1"/>
  <c r="AI116" i="1"/>
  <c r="AG119" i="1"/>
  <c r="AI119" i="1"/>
  <c r="AG185" i="1"/>
  <c r="AG124" i="1"/>
  <c r="AI124" i="1"/>
  <c r="AD185" i="1"/>
  <c r="AD91" i="1"/>
  <c r="AD120" i="1"/>
  <c r="AD104" i="1"/>
  <c r="AD123" i="1"/>
  <c r="AD96" i="1"/>
  <c r="AD111" i="1"/>
  <c r="AD99" i="1"/>
  <c r="AD108" i="1"/>
  <c r="AD115" i="1"/>
  <c r="AD105" i="1"/>
  <c r="AD132" i="1"/>
  <c r="Q38" i="1"/>
  <c r="Q37" i="1"/>
  <c r="M38" i="1"/>
  <c r="M37" i="1"/>
  <c r="Q88" i="1"/>
  <c r="Q87" i="1"/>
  <c r="Q86" i="1"/>
  <c r="M87" i="1"/>
  <c r="M88" i="1"/>
  <c r="J85" i="1"/>
  <c r="K85" i="1"/>
  <c r="L85" i="1"/>
  <c r="N85" i="1"/>
  <c r="O85" i="1"/>
  <c r="P85" i="1"/>
  <c r="S85" i="1"/>
  <c r="M86" i="1"/>
  <c r="Q84" i="1"/>
  <c r="Q83" i="1"/>
  <c r="M84" i="1"/>
  <c r="M83" i="1"/>
  <c r="Q81" i="1"/>
  <c r="Q80" i="1"/>
  <c r="M81" i="1"/>
  <c r="M80" i="1"/>
  <c r="Q78" i="1"/>
  <c r="Q77" i="1"/>
  <c r="Q76" i="1"/>
  <c r="M77" i="1"/>
  <c r="M78" i="1"/>
  <c r="M76" i="1"/>
  <c r="Q74" i="1"/>
  <c r="Q73" i="1"/>
  <c r="Q72" i="1"/>
  <c r="M73" i="1"/>
  <c r="M74" i="1"/>
  <c r="M72" i="1"/>
  <c r="Q70" i="1"/>
  <c r="Q69" i="1"/>
  <c r="M70" i="1"/>
  <c r="M69" i="1"/>
  <c r="Q67" i="1"/>
  <c r="Q66" i="1"/>
  <c r="M67" i="1"/>
  <c r="M66" i="1"/>
  <c r="Q64" i="1"/>
  <c r="Q63" i="1"/>
  <c r="M64" i="1"/>
  <c r="M63" i="1"/>
  <c r="Q61" i="1"/>
  <c r="Q60" i="1"/>
  <c r="M61" i="1"/>
  <c r="M60" i="1"/>
  <c r="Q58" i="1"/>
  <c r="Q57" i="1"/>
  <c r="M58" i="1"/>
  <c r="M57" i="1"/>
  <c r="Q54" i="1"/>
  <c r="Q53" i="1"/>
  <c r="M54" i="1"/>
  <c r="M53" i="1"/>
  <c r="Q51" i="1"/>
  <c r="Q50" i="1"/>
  <c r="M51" i="1"/>
  <c r="M50" i="1"/>
  <c r="Q47" i="1"/>
  <c r="Q48" i="1"/>
  <c r="Q46" i="1"/>
  <c r="M47" i="1"/>
  <c r="M48" i="1"/>
  <c r="M46" i="1"/>
  <c r="Q45" i="1"/>
  <c r="M45" i="1"/>
  <c r="Q44" i="1"/>
  <c r="M44" i="1"/>
  <c r="Q41" i="1"/>
  <c r="Q42" i="1"/>
  <c r="Q40" i="1"/>
  <c r="M41" i="1"/>
  <c r="M42" i="1"/>
  <c r="M40" i="1"/>
  <c r="Q35" i="1"/>
  <c r="Q34" i="1"/>
  <c r="M35" i="1"/>
  <c r="M34" i="1"/>
  <c r="Q31" i="1"/>
  <c r="Q32" i="1"/>
  <c r="Q30" i="1"/>
  <c r="M31" i="1"/>
  <c r="M32" i="1"/>
  <c r="M30" i="1"/>
  <c r="Q28" i="1"/>
  <c r="M28" i="1"/>
  <c r="Q27" i="1"/>
  <c r="M27" i="1"/>
  <c r="Q25" i="1"/>
  <c r="M25" i="1"/>
  <c r="Q18" i="1"/>
  <c r="Q19" i="1"/>
  <c r="Q20" i="1"/>
  <c r="Q21" i="1"/>
  <c r="Q22" i="1"/>
  <c r="Q23" i="1"/>
  <c r="Q17" i="1"/>
  <c r="M19" i="1"/>
  <c r="M20" i="1"/>
  <c r="M21" i="1"/>
  <c r="M22" i="1"/>
  <c r="M23" i="1"/>
  <c r="M18" i="1"/>
  <c r="R18" i="1" s="1"/>
  <c r="X18" i="1" s="1"/>
  <c r="AD18" i="1" s="1"/>
  <c r="M17" i="1"/>
  <c r="Q15" i="1"/>
  <c r="Q14" i="1"/>
  <c r="M15" i="1"/>
  <c r="M14" i="1"/>
  <c r="Q12" i="1"/>
  <c r="Q11" i="1"/>
  <c r="M12" i="1"/>
  <c r="M11" i="1"/>
  <c r="Q9" i="1"/>
  <c r="Q8" i="1"/>
  <c r="M9" i="1"/>
  <c r="M8" i="1"/>
  <c r="CA173" i="1" l="1"/>
  <c r="CA172" i="1"/>
  <c r="CA191" i="1"/>
  <c r="CA223" i="1" s="1"/>
  <c r="BU144" i="1"/>
  <c r="BU145" i="1"/>
  <c r="BQ181" i="1"/>
  <c r="BU181" i="1" s="1"/>
  <c r="BU195" i="1"/>
  <c r="BQ223" i="1"/>
  <c r="BQ157" i="1"/>
  <c r="BU157" i="1" s="1"/>
  <c r="CA157" i="1" s="1"/>
  <c r="BU191" i="1"/>
  <c r="BU187" i="1"/>
  <c r="BN140" i="1"/>
  <c r="BQ140" i="1"/>
  <c r="BN141" i="1"/>
  <c r="BQ141" i="1"/>
  <c r="BL179" i="1"/>
  <c r="BQ177" i="1"/>
  <c r="BL174" i="1"/>
  <c r="BQ171" i="1"/>
  <c r="BU171" i="1" s="1"/>
  <c r="BN148" i="1"/>
  <c r="BL142" i="1"/>
  <c r="AM185" i="1"/>
  <c r="BL184" i="1"/>
  <c r="AY168" i="1"/>
  <c r="BL166" i="1"/>
  <c r="AY164" i="1"/>
  <c r="BL162" i="1"/>
  <c r="CA162" i="1" s="1"/>
  <c r="AY139" i="1"/>
  <c r="BL137" i="1"/>
  <c r="CA137" i="1" s="1"/>
  <c r="AY146" i="1"/>
  <c r="BL143" i="1"/>
  <c r="AY160" i="1"/>
  <c r="BL159" i="1"/>
  <c r="AY156" i="1"/>
  <c r="BL147" i="1"/>
  <c r="AY142" i="1"/>
  <c r="BD137" i="1"/>
  <c r="AQ126" i="1"/>
  <c r="AU132" i="1"/>
  <c r="AU134" i="1" s="1"/>
  <c r="AU18" i="1"/>
  <c r="AU115" i="1"/>
  <c r="AU117" i="1" s="1"/>
  <c r="AU96" i="1"/>
  <c r="AU98" i="1" s="1"/>
  <c r="AU105" i="1"/>
  <c r="AU107" i="1" s="1"/>
  <c r="AU111" i="1"/>
  <c r="AU113" i="1" s="1"/>
  <c r="AU120" i="1"/>
  <c r="AU122" i="1" s="1"/>
  <c r="Q56" i="1"/>
  <c r="AU99" i="1"/>
  <c r="AU101" i="1" s="1"/>
  <c r="AU108" i="1"/>
  <c r="AU110" i="1" s="1"/>
  <c r="AU123" i="1"/>
  <c r="AU125" i="1" s="1"/>
  <c r="M56" i="1"/>
  <c r="AU104" i="1"/>
  <c r="AU91" i="1"/>
  <c r="AU93" i="1" s="1"/>
  <c r="AC104" i="1"/>
  <c r="AC185" i="1"/>
  <c r="AQ146" i="1"/>
  <c r="AQ114" i="1"/>
  <c r="AQ121" i="1"/>
  <c r="AY121" i="1" s="1"/>
  <c r="BL121" i="1" s="1"/>
  <c r="AQ168" i="1"/>
  <c r="AQ164" i="1"/>
  <c r="AQ139" i="1"/>
  <c r="AQ160" i="1"/>
  <c r="AQ142" i="1"/>
  <c r="AQ156" i="1"/>
  <c r="AQ100" i="1"/>
  <c r="AQ128" i="1"/>
  <c r="AY128" i="1" s="1"/>
  <c r="BL128" i="1" s="1"/>
  <c r="CA128" i="1" s="1"/>
  <c r="R25" i="1"/>
  <c r="X25" i="1" s="1"/>
  <c r="AQ102" i="1"/>
  <c r="AY102" i="1" s="1"/>
  <c r="BL102" i="1" s="1"/>
  <c r="AQ90" i="1"/>
  <c r="AQ130" i="1"/>
  <c r="AY130" i="1" s="1"/>
  <c r="BL130" i="1" s="1"/>
  <c r="CA130" i="1" s="1"/>
  <c r="AQ95" i="1"/>
  <c r="AY95" i="1" s="1"/>
  <c r="BL95" i="1" s="1"/>
  <c r="AQ97" i="1"/>
  <c r="AQ118" i="1"/>
  <c r="AY118" i="1" s="1"/>
  <c r="BL118" i="1" s="1"/>
  <c r="AQ119" i="1"/>
  <c r="AY119" i="1" s="1"/>
  <c r="BL119" i="1" s="1"/>
  <c r="AQ94" i="1"/>
  <c r="AY94" i="1" s="1"/>
  <c r="BL94" i="1" s="1"/>
  <c r="AQ103" i="1"/>
  <c r="AQ133" i="1"/>
  <c r="AQ124" i="1"/>
  <c r="AY124" i="1" s="1"/>
  <c r="BL124" i="1" s="1"/>
  <c r="CA124" i="1" s="1"/>
  <c r="AQ112" i="1"/>
  <c r="AY112" i="1" s="1"/>
  <c r="BL112" i="1" s="1"/>
  <c r="CA112" i="1" s="1"/>
  <c r="AQ127" i="1"/>
  <c r="AQ109" i="1"/>
  <c r="AQ129" i="1"/>
  <c r="AQ131" i="1"/>
  <c r="R66" i="1"/>
  <c r="X66" i="1" s="1"/>
  <c r="AD66" i="1" s="1"/>
  <c r="M85" i="1"/>
  <c r="AQ116" i="1"/>
  <c r="AQ106" i="1"/>
  <c r="AY106" i="1" s="1"/>
  <c r="BL106" i="1" s="1"/>
  <c r="CA106" i="1" s="1"/>
  <c r="AI111" i="1"/>
  <c r="AI113" i="1" s="1"/>
  <c r="AM111" i="1"/>
  <c r="AC111" i="1"/>
  <c r="AM99" i="1"/>
  <c r="AC99" i="1"/>
  <c r="AM18" i="1"/>
  <c r="AC18" i="1"/>
  <c r="AI115" i="1"/>
  <c r="AI117" i="1" s="1"/>
  <c r="AM115" i="1"/>
  <c r="AC115" i="1"/>
  <c r="AI96" i="1"/>
  <c r="AI98" i="1" s="1"/>
  <c r="AM96" i="1"/>
  <c r="AC96" i="1"/>
  <c r="AI91" i="1"/>
  <c r="AI93" i="1" s="1"/>
  <c r="AM91" i="1"/>
  <c r="AC91" i="1"/>
  <c r="X135" i="1"/>
  <c r="AI105" i="1"/>
  <c r="AI107" i="1" s="1"/>
  <c r="AM105" i="1"/>
  <c r="AC105" i="1"/>
  <c r="AI120" i="1"/>
  <c r="AI122" i="1" s="1"/>
  <c r="AM120" i="1"/>
  <c r="AC120" i="1"/>
  <c r="AI132" i="1"/>
  <c r="AI134" i="1" s="1"/>
  <c r="AM132" i="1"/>
  <c r="AC132" i="1"/>
  <c r="AI108" i="1"/>
  <c r="AI110" i="1" s="1"/>
  <c r="AM108" i="1"/>
  <c r="AC108" i="1"/>
  <c r="AI123" i="1"/>
  <c r="AM123" i="1"/>
  <c r="AC123" i="1"/>
  <c r="AM104" i="1"/>
  <c r="AG104" i="1"/>
  <c r="AG18" i="1"/>
  <c r="AI18" i="1"/>
  <c r="AI104" i="1"/>
  <c r="AG99" i="1"/>
  <c r="AG101" i="1" s="1"/>
  <c r="AI99" i="1"/>
  <c r="AI101" i="1" s="1"/>
  <c r="AD134" i="1"/>
  <c r="AG132" i="1"/>
  <c r="AG134" i="1" s="1"/>
  <c r="AD117" i="1"/>
  <c r="AG115" i="1"/>
  <c r="AG117" i="1" s="1"/>
  <c r="AD98" i="1"/>
  <c r="AG96" i="1"/>
  <c r="AG98" i="1" s="1"/>
  <c r="AD110" i="1"/>
  <c r="AG108" i="1"/>
  <c r="AG110" i="1" s="1"/>
  <c r="AD107" i="1"/>
  <c r="AG105" i="1"/>
  <c r="AG107" i="1" s="1"/>
  <c r="AD113" i="1"/>
  <c r="AG111" i="1"/>
  <c r="AG113" i="1" s="1"/>
  <c r="AD125" i="1"/>
  <c r="AG123" i="1"/>
  <c r="AG125" i="1" s="1"/>
  <c r="AD122" i="1"/>
  <c r="AG120" i="1"/>
  <c r="AG122" i="1" s="1"/>
  <c r="AD93" i="1"/>
  <c r="AG91" i="1"/>
  <c r="AG93" i="1" s="1"/>
  <c r="AD101" i="1"/>
  <c r="R28" i="1"/>
  <c r="X28" i="1" s="1"/>
  <c r="AD28" i="1" s="1"/>
  <c r="R34" i="1"/>
  <c r="X34" i="1" s="1"/>
  <c r="R53" i="1"/>
  <c r="R76" i="1"/>
  <c r="X76" i="1" s="1"/>
  <c r="Q85" i="1"/>
  <c r="R86" i="1"/>
  <c r="X86" i="1" s="1"/>
  <c r="AD86" i="1" s="1"/>
  <c r="R46" i="1"/>
  <c r="X46" i="1" s="1"/>
  <c r="R67" i="1"/>
  <c r="X67" i="1" s="1"/>
  <c r="AD67" i="1" s="1"/>
  <c r="R37" i="1"/>
  <c r="X37" i="1" s="1"/>
  <c r="R9" i="1"/>
  <c r="X9" i="1" s="1"/>
  <c r="AD9" i="1" s="1"/>
  <c r="R38" i="1"/>
  <c r="X38" i="1" s="1"/>
  <c r="AD38" i="1" s="1"/>
  <c r="R63" i="1"/>
  <c r="X63" i="1" s="1"/>
  <c r="R42" i="1"/>
  <c r="X42" i="1" s="1"/>
  <c r="AD42" i="1" s="1"/>
  <c r="R80" i="1"/>
  <c r="X80" i="1" s="1"/>
  <c r="R8" i="1"/>
  <c r="X8" i="1" s="1"/>
  <c r="R11" i="1"/>
  <c r="X11" i="1" s="1"/>
  <c r="R60" i="1"/>
  <c r="X60" i="1" s="1"/>
  <c r="R45" i="1"/>
  <c r="X45" i="1" s="1"/>
  <c r="AD45" i="1" s="1"/>
  <c r="R44" i="1"/>
  <c r="X44" i="1" s="1"/>
  <c r="AD44" i="1" s="1"/>
  <c r="R15" i="1"/>
  <c r="X15" i="1" s="1"/>
  <c r="AD15" i="1" s="1"/>
  <c r="R78" i="1"/>
  <c r="X78" i="1" s="1"/>
  <c r="AD78" i="1" s="1"/>
  <c r="R69" i="1"/>
  <c r="X69" i="1" s="1"/>
  <c r="R88" i="1"/>
  <c r="X88" i="1" s="1"/>
  <c r="R87" i="1"/>
  <c r="X87" i="1" s="1"/>
  <c r="AD87" i="1" s="1"/>
  <c r="R84" i="1"/>
  <c r="X84" i="1" s="1"/>
  <c r="R83" i="1"/>
  <c r="X83" i="1" s="1"/>
  <c r="R81" i="1"/>
  <c r="X81" i="1" s="1"/>
  <c r="AD81" i="1" s="1"/>
  <c r="R77" i="1"/>
  <c r="X77" i="1" s="1"/>
  <c r="AD77" i="1" s="1"/>
  <c r="R74" i="1"/>
  <c r="X74" i="1" s="1"/>
  <c r="R73" i="1"/>
  <c r="X73" i="1" s="1"/>
  <c r="R72" i="1"/>
  <c r="X72" i="1" s="1"/>
  <c r="R70" i="1"/>
  <c r="X70" i="1" s="1"/>
  <c r="AD70" i="1" s="1"/>
  <c r="R64" i="1"/>
  <c r="X64" i="1" s="1"/>
  <c r="AD64" i="1" s="1"/>
  <c r="R61" i="1"/>
  <c r="X61" i="1" s="1"/>
  <c r="R58" i="1"/>
  <c r="X58" i="1" s="1"/>
  <c r="AD58" i="1" s="1"/>
  <c r="R57" i="1"/>
  <c r="X57" i="1" s="1"/>
  <c r="R54" i="1"/>
  <c r="X54" i="1" s="1"/>
  <c r="AD54" i="1" s="1"/>
  <c r="R51" i="1"/>
  <c r="X51" i="1" s="1"/>
  <c r="AD51" i="1" s="1"/>
  <c r="R50" i="1"/>
  <c r="X50" i="1" s="1"/>
  <c r="R48" i="1"/>
  <c r="X48" i="1" s="1"/>
  <c r="R47" i="1"/>
  <c r="X47" i="1" s="1"/>
  <c r="R41" i="1"/>
  <c r="X41" i="1" s="1"/>
  <c r="AD41" i="1" s="1"/>
  <c r="R40" i="1"/>
  <c r="X40" i="1" s="1"/>
  <c r="R35" i="1"/>
  <c r="X35" i="1" s="1"/>
  <c r="AD35" i="1" s="1"/>
  <c r="R23" i="1"/>
  <c r="X23" i="1" s="1"/>
  <c r="AD23" i="1" s="1"/>
  <c r="R32" i="1"/>
  <c r="X32" i="1" s="1"/>
  <c r="R30" i="1"/>
  <c r="X30" i="1" s="1"/>
  <c r="R31" i="1"/>
  <c r="X31" i="1" s="1"/>
  <c r="R27" i="1"/>
  <c r="X27" i="1" s="1"/>
  <c r="R22" i="1"/>
  <c r="X22" i="1" s="1"/>
  <c r="AD22" i="1" s="1"/>
  <c r="R21" i="1"/>
  <c r="X21" i="1" s="1"/>
  <c r="AD21" i="1" s="1"/>
  <c r="R20" i="1"/>
  <c r="X20" i="1" s="1"/>
  <c r="AD20" i="1" s="1"/>
  <c r="R19" i="1"/>
  <c r="X19" i="1" s="1"/>
  <c r="AD19" i="1" s="1"/>
  <c r="R17" i="1"/>
  <c r="X17" i="1" s="1"/>
  <c r="R14" i="1"/>
  <c r="X14" i="1" s="1"/>
  <c r="R12" i="1"/>
  <c r="X12" i="1" s="1"/>
  <c r="AD12" i="1" s="1"/>
  <c r="CA171" i="1" l="1"/>
  <c r="CA145" i="1"/>
  <c r="CA144" i="1"/>
  <c r="CA174" i="1"/>
  <c r="CA164" i="1"/>
  <c r="CA181" i="1"/>
  <c r="CA139" i="1"/>
  <c r="BU140" i="1"/>
  <c r="CA140" i="1" s="1"/>
  <c r="BU141" i="1"/>
  <c r="BU223" i="1"/>
  <c r="BQ184" i="1"/>
  <c r="BU184" i="1"/>
  <c r="BQ137" i="1"/>
  <c r="BQ139" i="1" s="1"/>
  <c r="BQ166" i="1"/>
  <c r="BU166" i="1" s="1"/>
  <c r="BQ143" i="1"/>
  <c r="BU143" i="1" s="1"/>
  <c r="CA143" i="1" s="1"/>
  <c r="BU139" i="1"/>
  <c r="BQ174" i="1"/>
  <c r="BQ179" i="1"/>
  <c r="BU177" i="1"/>
  <c r="BN142" i="1"/>
  <c r="BQ142" i="1"/>
  <c r="BN106" i="1"/>
  <c r="BQ106" i="1"/>
  <c r="BN112" i="1"/>
  <c r="BQ112" i="1"/>
  <c r="BN94" i="1"/>
  <c r="BQ94" i="1"/>
  <c r="BU94" i="1" s="1"/>
  <c r="CA94" i="1" s="1"/>
  <c r="BN118" i="1"/>
  <c r="BQ118" i="1"/>
  <c r="BN95" i="1"/>
  <c r="BQ95" i="1"/>
  <c r="BU95" i="1" s="1"/>
  <c r="CA95" i="1" s="1"/>
  <c r="BN124" i="1"/>
  <c r="BQ124" i="1"/>
  <c r="BN119" i="1"/>
  <c r="BQ119" i="1"/>
  <c r="BN130" i="1"/>
  <c r="BQ130" i="1"/>
  <c r="BN102" i="1"/>
  <c r="BQ102" i="1"/>
  <c r="BU102" i="1" s="1"/>
  <c r="CA102" i="1" s="1"/>
  <c r="BN128" i="1"/>
  <c r="BQ128" i="1"/>
  <c r="BN121" i="1"/>
  <c r="BQ121" i="1"/>
  <c r="BL156" i="1"/>
  <c r="BQ147" i="1"/>
  <c r="BU147" i="1" s="1"/>
  <c r="BL160" i="1"/>
  <c r="BQ159" i="1"/>
  <c r="BL164" i="1"/>
  <c r="BQ162" i="1"/>
  <c r="BL146" i="1"/>
  <c r="BN143" i="1"/>
  <c r="BN146" i="1" s="1"/>
  <c r="BL139" i="1"/>
  <c r="BN137" i="1"/>
  <c r="BN139" i="1" s="1"/>
  <c r="BN147" i="1"/>
  <c r="BN149" i="1"/>
  <c r="AQ185" i="1"/>
  <c r="AY185" i="1"/>
  <c r="BL168" i="1"/>
  <c r="AU135" i="1"/>
  <c r="AY127" i="1"/>
  <c r="BA127" i="1" s="1"/>
  <c r="AY103" i="1"/>
  <c r="AY97" i="1"/>
  <c r="AY114" i="1"/>
  <c r="AY131" i="1"/>
  <c r="BA131" i="1" s="1"/>
  <c r="AY116" i="1"/>
  <c r="AY129" i="1"/>
  <c r="AY109" i="1"/>
  <c r="BA109" i="1" s="1"/>
  <c r="AY133" i="1"/>
  <c r="AY90" i="1"/>
  <c r="BA90" i="1" s="1"/>
  <c r="AY100" i="1"/>
  <c r="AY126" i="1"/>
  <c r="BA138" i="1"/>
  <c r="BD138" i="1"/>
  <c r="BD139" i="1" s="1"/>
  <c r="BD106" i="1"/>
  <c r="BD112" i="1"/>
  <c r="BD94" i="1"/>
  <c r="BD95" i="1"/>
  <c r="BD102" i="1"/>
  <c r="BD118" i="1"/>
  <c r="BD121" i="1"/>
  <c r="BD124" i="1"/>
  <c r="BD119" i="1"/>
  <c r="BD130" i="1"/>
  <c r="BD128" i="1"/>
  <c r="AU12" i="1"/>
  <c r="AU41" i="1"/>
  <c r="AU86" i="1"/>
  <c r="AU19" i="1"/>
  <c r="AU64" i="1"/>
  <c r="AU22" i="1"/>
  <c r="AU35" i="1"/>
  <c r="AU81" i="1"/>
  <c r="AU15" i="1"/>
  <c r="AU67" i="1"/>
  <c r="BA112" i="1"/>
  <c r="AU21" i="1"/>
  <c r="AU23" i="1"/>
  <c r="AU54" i="1"/>
  <c r="AU77" i="1"/>
  <c r="AU78" i="1"/>
  <c r="AU42" i="1"/>
  <c r="AU28" i="1"/>
  <c r="AC93" i="1"/>
  <c r="R85" i="1"/>
  <c r="AI125" i="1"/>
  <c r="AI135" i="1" s="1"/>
  <c r="AU45" i="1"/>
  <c r="BA118" i="1"/>
  <c r="BA121" i="1"/>
  <c r="AU20" i="1"/>
  <c r="AU51" i="1"/>
  <c r="AU9" i="1"/>
  <c r="AU44" i="1"/>
  <c r="AU38" i="1"/>
  <c r="AU39" i="1" s="1"/>
  <c r="X53" i="1"/>
  <c r="X56" i="1" s="1"/>
  <c r="R56" i="1"/>
  <c r="BA124" i="1"/>
  <c r="BA119" i="1"/>
  <c r="BA130" i="1"/>
  <c r="BA128" i="1"/>
  <c r="AU70" i="1"/>
  <c r="AU58" i="1"/>
  <c r="AU87" i="1"/>
  <c r="AU66" i="1"/>
  <c r="BA106" i="1"/>
  <c r="BA94" i="1"/>
  <c r="BA95" i="1"/>
  <c r="BA140" i="1"/>
  <c r="BA137" i="1"/>
  <c r="AC101" i="1"/>
  <c r="AC122" i="1"/>
  <c r="AC113" i="1"/>
  <c r="AC110" i="1"/>
  <c r="AC117" i="1"/>
  <c r="AC125" i="1"/>
  <c r="AC107" i="1"/>
  <c r="AC98" i="1"/>
  <c r="AC134" i="1"/>
  <c r="AQ120" i="1"/>
  <c r="AY120" i="1" s="1"/>
  <c r="AQ18" i="1"/>
  <c r="AQ108" i="1"/>
  <c r="AY108" i="1" s="1"/>
  <c r="AQ132" i="1"/>
  <c r="AY132" i="1" s="1"/>
  <c r="BL132" i="1" s="1"/>
  <c r="CA132" i="1" s="1"/>
  <c r="AQ115" i="1"/>
  <c r="AY115" i="1" s="1"/>
  <c r="BL115" i="1" s="1"/>
  <c r="CA115" i="1" s="1"/>
  <c r="AQ99" i="1"/>
  <c r="AY99" i="1" s="1"/>
  <c r="BL99" i="1" s="1"/>
  <c r="X24" i="1"/>
  <c r="X26" i="1" s="1"/>
  <c r="X59" i="1"/>
  <c r="X13" i="1"/>
  <c r="X65" i="1"/>
  <c r="X79" i="1"/>
  <c r="AQ105" i="1"/>
  <c r="AY105" i="1" s="1"/>
  <c r="AQ91" i="1"/>
  <c r="AY91" i="1" s="1"/>
  <c r="AQ111" i="1"/>
  <c r="AY111" i="1" s="1"/>
  <c r="AQ104" i="1"/>
  <c r="X39" i="1"/>
  <c r="AQ123" i="1"/>
  <c r="AY123" i="1" s="1"/>
  <c r="AQ96" i="1"/>
  <c r="AY96" i="1" s="1"/>
  <c r="BL96" i="1" s="1"/>
  <c r="AM81" i="1"/>
  <c r="AC81" i="1"/>
  <c r="AM15" i="1"/>
  <c r="AC15" i="1"/>
  <c r="AM66" i="1"/>
  <c r="AC66" i="1"/>
  <c r="AM122" i="1"/>
  <c r="AM101" i="1"/>
  <c r="AM77" i="1"/>
  <c r="AC77" i="1"/>
  <c r="AM78" i="1"/>
  <c r="AC78" i="1"/>
  <c r="AM42" i="1"/>
  <c r="AC42" i="1"/>
  <c r="AM12" i="1"/>
  <c r="AC12" i="1"/>
  <c r="AM20" i="1"/>
  <c r="AC20" i="1"/>
  <c r="AM51" i="1"/>
  <c r="AC51" i="1"/>
  <c r="AM70" i="1"/>
  <c r="AC70" i="1"/>
  <c r="AM19" i="1"/>
  <c r="AC19" i="1"/>
  <c r="AM58" i="1"/>
  <c r="AC58" i="1"/>
  <c r="AM64" i="1"/>
  <c r="AC64" i="1"/>
  <c r="AM44" i="1"/>
  <c r="AC44" i="1"/>
  <c r="AI38" i="1"/>
  <c r="AI39" i="1" s="1"/>
  <c r="AM38" i="1"/>
  <c r="AC38" i="1"/>
  <c r="AM93" i="1"/>
  <c r="AM98" i="1"/>
  <c r="AM117" i="1"/>
  <c r="AM113" i="1"/>
  <c r="X16" i="1"/>
  <c r="X33" i="1"/>
  <c r="X29" i="1"/>
  <c r="X43" i="1"/>
  <c r="X52" i="1"/>
  <c r="X85" i="1"/>
  <c r="X10" i="1"/>
  <c r="X49" i="1"/>
  <c r="AM22" i="1"/>
  <c r="AC22" i="1"/>
  <c r="AM35" i="1"/>
  <c r="AC35" i="1"/>
  <c r="AM87" i="1"/>
  <c r="AC87" i="1"/>
  <c r="AI67" i="1"/>
  <c r="AM67" i="1"/>
  <c r="AC67" i="1"/>
  <c r="AM134" i="1"/>
  <c r="AM107" i="1"/>
  <c r="AM21" i="1"/>
  <c r="AC21" i="1"/>
  <c r="AM23" i="1"/>
  <c r="AC23" i="1"/>
  <c r="AM54" i="1"/>
  <c r="AC54" i="1"/>
  <c r="AM28" i="1"/>
  <c r="AC28" i="1"/>
  <c r="AM41" i="1"/>
  <c r="AC41" i="1"/>
  <c r="AC74" i="1"/>
  <c r="AC84" i="1"/>
  <c r="AM45" i="1"/>
  <c r="AC45" i="1"/>
  <c r="AM9" i="1"/>
  <c r="AC9" i="1"/>
  <c r="AM86" i="1"/>
  <c r="AC86" i="1"/>
  <c r="AM125" i="1"/>
  <c r="AM110" i="1"/>
  <c r="X75" i="1"/>
  <c r="X62" i="1"/>
  <c r="X71" i="1"/>
  <c r="X82" i="1"/>
  <c r="X36" i="1"/>
  <c r="X68" i="1"/>
  <c r="AD135" i="1"/>
  <c r="AG64" i="1"/>
  <c r="AI64" i="1"/>
  <c r="AG22" i="1"/>
  <c r="AI22" i="1"/>
  <c r="AG35" i="1"/>
  <c r="AI35" i="1"/>
  <c r="AG81" i="1"/>
  <c r="AI81" i="1"/>
  <c r="AG87" i="1"/>
  <c r="AI87" i="1"/>
  <c r="AG15" i="1"/>
  <c r="AI15" i="1"/>
  <c r="AG66" i="1"/>
  <c r="AI66" i="1"/>
  <c r="AG12" i="1"/>
  <c r="AI12" i="1"/>
  <c r="AG19" i="1"/>
  <c r="AI19" i="1"/>
  <c r="AG58" i="1"/>
  <c r="AI58" i="1"/>
  <c r="AG44" i="1"/>
  <c r="AI44" i="1"/>
  <c r="AG21" i="1"/>
  <c r="AI21" i="1"/>
  <c r="AG23" i="1"/>
  <c r="AI23" i="1"/>
  <c r="AG54" i="1"/>
  <c r="AI54" i="1"/>
  <c r="AG77" i="1"/>
  <c r="AI77" i="1"/>
  <c r="AG78" i="1"/>
  <c r="AI78" i="1"/>
  <c r="AG42" i="1"/>
  <c r="AI42" i="1"/>
  <c r="AG28" i="1"/>
  <c r="AI28" i="1"/>
  <c r="AG20" i="1"/>
  <c r="AI20" i="1"/>
  <c r="AG41" i="1"/>
  <c r="AI41" i="1"/>
  <c r="AG51" i="1"/>
  <c r="AI51" i="1"/>
  <c r="AG70" i="1"/>
  <c r="AI70" i="1"/>
  <c r="AG45" i="1"/>
  <c r="AI45" i="1"/>
  <c r="AG9" i="1"/>
  <c r="AI9" i="1"/>
  <c r="AG86" i="1"/>
  <c r="AI86" i="1"/>
  <c r="AD39" i="1"/>
  <c r="AG38" i="1"/>
  <c r="AG39" i="1" s="1"/>
  <c r="AD68" i="1"/>
  <c r="AG67" i="1"/>
  <c r="AG135" i="1"/>
  <c r="AD17" i="1"/>
  <c r="AD57" i="1"/>
  <c r="AD11" i="1"/>
  <c r="AD63" i="1"/>
  <c r="AD14" i="1"/>
  <c r="AD30" i="1"/>
  <c r="AD60" i="1"/>
  <c r="AD34" i="1"/>
  <c r="AD69" i="1"/>
  <c r="AD80" i="1"/>
  <c r="AD46" i="1"/>
  <c r="AD72" i="1"/>
  <c r="AD27" i="1"/>
  <c r="AD40" i="1"/>
  <c r="AD50" i="1"/>
  <c r="AD83" i="1"/>
  <c r="AD8" i="1"/>
  <c r="AD76" i="1"/>
  <c r="Q6" i="1"/>
  <c r="Q5" i="1"/>
  <c r="M6" i="1"/>
  <c r="M5" i="1"/>
  <c r="J7" i="1"/>
  <c r="K7" i="1"/>
  <c r="L7" i="1"/>
  <c r="N7" i="1"/>
  <c r="O7" i="1"/>
  <c r="P7" i="1"/>
  <c r="S7" i="1"/>
  <c r="J10" i="1"/>
  <c r="K10" i="1"/>
  <c r="L10" i="1"/>
  <c r="M10" i="1"/>
  <c r="N10" i="1"/>
  <c r="O10" i="1"/>
  <c r="P10" i="1"/>
  <c r="Q10" i="1"/>
  <c r="R10" i="1"/>
  <c r="S10" i="1"/>
  <c r="J13" i="1"/>
  <c r="K13" i="1"/>
  <c r="L13" i="1"/>
  <c r="M13" i="1"/>
  <c r="N13" i="1"/>
  <c r="O13" i="1"/>
  <c r="P13" i="1"/>
  <c r="Q13" i="1"/>
  <c r="R13" i="1"/>
  <c r="S13" i="1"/>
  <c r="J16" i="1"/>
  <c r="K16" i="1"/>
  <c r="L16" i="1"/>
  <c r="M16" i="1"/>
  <c r="N16" i="1"/>
  <c r="O16" i="1"/>
  <c r="P16" i="1"/>
  <c r="Q16" i="1"/>
  <c r="R16" i="1"/>
  <c r="S16" i="1"/>
  <c r="J24" i="1"/>
  <c r="J26" i="1" s="1"/>
  <c r="K24" i="1"/>
  <c r="K26" i="1" s="1"/>
  <c r="L24" i="1"/>
  <c r="L26" i="1" s="1"/>
  <c r="M24" i="1"/>
  <c r="M26" i="1" s="1"/>
  <c r="N24" i="1"/>
  <c r="N26" i="1" s="1"/>
  <c r="O24" i="1"/>
  <c r="O26" i="1" s="1"/>
  <c r="P24" i="1"/>
  <c r="P26" i="1" s="1"/>
  <c r="Q24" i="1"/>
  <c r="Q26" i="1" s="1"/>
  <c r="R24" i="1"/>
  <c r="R26" i="1" s="1"/>
  <c r="S24" i="1"/>
  <c r="S26" i="1" s="1"/>
  <c r="J29" i="1"/>
  <c r="K29" i="1"/>
  <c r="L29" i="1"/>
  <c r="M29" i="1"/>
  <c r="N29" i="1"/>
  <c r="O29" i="1"/>
  <c r="P29" i="1"/>
  <c r="Q29" i="1"/>
  <c r="R29" i="1"/>
  <c r="S29" i="1"/>
  <c r="J33" i="1"/>
  <c r="K33" i="1"/>
  <c r="L33" i="1"/>
  <c r="M33" i="1"/>
  <c r="N33" i="1"/>
  <c r="O33" i="1"/>
  <c r="P33" i="1"/>
  <c r="Q33" i="1"/>
  <c r="R33" i="1"/>
  <c r="S33" i="1"/>
  <c r="J36" i="1"/>
  <c r="K36" i="1"/>
  <c r="L36" i="1"/>
  <c r="M36" i="1"/>
  <c r="N36" i="1"/>
  <c r="O36" i="1"/>
  <c r="P36" i="1"/>
  <c r="Q36" i="1"/>
  <c r="R36" i="1"/>
  <c r="S36" i="1"/>
  <c r="J39" i="1"/>
  <c r="K39" i="1"/>
  <c r="L39" i="1"/>
  <c r="M39" i="1"/>
  <c r="N39" i="1"/>
  <c r="O39" i="1"/>
  <c r="P39" i="1"/>
  <c r="Q39" i="1"/>
  <c r="R39" i="1"/>
  <c r="S39" i="1"/>
  <c r="J43" i="1"/>
  <c r="K43" i="1"/>
  <c r="L43" i="1"/>
  <c r="M43" i="1"/>
  <c r="N43" i="1"/>
  <c r="O43" i="1"/>
  <c r="P43" i="1"/>
  <c r="Q43" i="1"/>
  <c r="R43" i="1"/>
  <c r="S43" i="1"/>
  <c r="J49" i="1"/>
  <c r="K49" i="1"/>
  <c r="L49" i="1"/>
  <c r="M49" i="1"/>
  <c r="N49" i="1"/>
  <c r="O49" i="1"/>
  <c r="P49" i="1"/>
  <c r="Q49" i="1"/>
  <c r="R49" i="1"/>
  <c r="S49" i="1"/>
  <c r="J52" i="1"/>
  <c r="K52" i="1"/>
  <c r="L52" i="1"/>
  <c r="M52" i="1"/>
  <c r="N52" i="1"/>
  <c r="O52" i="1"/>
  <c r="P52" i="1"/>
  <c r="Q52" i="1"/>
  <c r="R52" i="1"/>
  <c r="S52" i="1"/>
  <c r="J59" i="1"/>
  <c r="K59" i="1"/>
  <c r="L59" i="1"/>
  <c r="M59" i="1"/>
  <c r="N59" i="1"/>
  <c r="O59" i="1"/>
  <c r="P59" i="1"/>
  <c r="Q59" i="1"/>
  <c r="R59" i="1"/>
  <c r="S59" i="1"/>
  <c r="J62" i="1"/>
  <c r="K62" i="1"/>
  <c r="L62" i="1"/>
  <c r="M62" i="1"/>
  <c r="N62" i="1"/>
  <c r="O62" i="1"/>
  <c r="P62" i="1"/>
  <c r="Q62" i="1"/>
  <c r="R62" i="1"/>
  <c r="S62" i="1"/>
  <c r="J65" i="1"/>
  <c r="K65" i="1"/>
  <c r="L65" i="1"/>
  <c r="M65" i="1"/>
  <c r="N65" i="1"/>
  <c r="O65" i="1"/>
  <c r="P65" i="1"/>
  <c r="Q65" i="1"/>
  <c r="R65" i="1"/>
  <c r="S65" i="1"/>
  <c r="J71" i="1"/>
  <c r="K71" i="1"/>
  <c r="L71" i="1"/>
  <c r="M71" i="1"/>
  <c r="N71" i="1"/>
  <c r="O71" i="1"/>
  <c r="P71" i="1"/>
  <c r="Q71" i="1"/>
  <c r="R71" i="1"/>
  <c r="S71" i="1"/>
  <c r="J75" i="1"/>
  <c r="K75" i="1"/>
  <c r="L75" i="1"/>
  <c r="M75" i="1"/>
  <c r="N75" i="1"/>
  <c r="O75" i="1"/>
  <c r="P75" i="1"/>
  <c r="Q75" i="1"/>
  <c r="R75" i="1"/>
  <c r="S75" i="1"/>
  <c r="J79" i="1"/>
  <c r="K79" i="1"/>
  <c r="L79" i="1"/>
  <c r="M79" i="1"/>
  <c r="N79" i="1"/>
  <c r="O79" i="1"/>
  <c r="P79" i="1"/>
  <c r="Q79" i="1"/>
  <c r="R79" i="1"/>
  <c r="S79" i="1"/>
  <c r="J82" i="1"/>
  <c r="K82" i="1"/>
  <c r="L82" i="1"/>
  <c r="M82" i="1"/>
  <c r="N82" i="1"/>
  <c r="O82" i="1"/>
  <c r="P82" i="1"/>
  <c r="Q82" i="1"/>
  <c r="R82" i="1"/>
  <c r="S82" i="1"/>
  <c r="J93" i="1"/>
  <c r="K93" i="1"/>
  <c r="L93" i="1"/>
  <c r="M93" i="1"/>
  <c r="N93" i="1"/>
  <c r="O93" i="1"/>
  <c r="P93" i="1"/>
  <c r="Q93" i="1"/>
  <c r="R93" i="1"/>
  <c r="S93" i="1"/>
  <c r="J98" i="1"/>
  <c r="K98" i="1"/>
  <c r="L98" i="1"/>
  <c r="M98" i="1"/>
  <c r="N98" i="1"/>
  <c r="O98" i="1"/>
  <c r="P98" i="1"/>
  <c r="Q98" i="1"/>
  <c r="R98" i="1"/>
  <c r="S98" i="1"/>
  <c r="J101" i="1"/>
  <c r="K101" i="1"/>
  <c r="L101" i="1"/>
  <c r="M101" i="1"/>
  <c r="N101" i="1"/>
  <c r="O101" i="1"/>
  <c r="P101" i="1"/>
  <c r="Q101" i="1"/>
  <c r="R101" i="1"/>
  <c r="S101" i="1"/>
  <c r="J104" i="1"/>
  <c r="K104" i="1"/>
  <c r="L104" i="1"/>
  <c r="M104" i="1"/>
  <c r="N104" i="1"/>
  <c r="O104" i="1"/>
  <c r="P104" i="1"/>
  <c r="Q104" i="1"/>
  <c r="R104" i="1"/>
  <c r="S104" i="1"/>
  <c r="J107" i="1"/>
  <c r="K107" i="1"/>
  <c r="L107" i="1"/>
  <c r="M107" i="1"/>
  <c r="N107" i="1"/>
  <c r="O107" i="1"/>
  <c r="P107" i="1"/>
  <c r="Q107" i="1"/>
  <c r="R107" i="1"/>
  <c r="S107" i="1"/>
  <c r="J110" i="1"/>
  <c r="K110" i="1"/>
  <c r="L110" i="1"/>
  <c r="M110" i="1"/>
  <c r="N110" i="1"/>
  <c r="O110" i="1"/>
  <c r="P110" i="1"/>
  <c r="Q110" i="1"/>
  <c r="R110" i="1"/>
  <c r="S110" i="1"/>
  <c r="J113" i="1"/>
  <c r="K113" i="1"/>
  <c r="L113" i="1"/>
  <c r="M113" i="1"/>
  <c r="N113" i="1"/>
  <c r="O113" i="1"/>
  <c r="P113" i="1"/>
  <c r="Q113" i="1"/>
  <c r="R113" i="1"/>
  <c r="S113" i="1"/>
  <c r="J117" i="1"/>
  <c r="K117" i="1"/>
  <c r="L117" i="1"/>
  <c r="M117" i="1"/>
  <c r="N117" i="1"/>
  <c r="O117" i="1"/>
  <c r="P117" i="1"/>
  <c r="Q117" i="1"/>
  <c r="R117" i="1"/>
  <c r="S117" i="1"/>
  <c r="J122" i="1"/>
  <c r="K122" i="1"/>
  <c r="L122" i="1"/>
  <c r="M122" i="1"/>
  <c r="N122" i="1"/>
  <c r="O122" i="1"/>
  <c r="P122" i="1"/>
  <c r="Q122" i="1"/>
  <c r="R122" i="1"/>
  <c r="S122" i="1"/>
  <c r="J125" i="1"/>
  <c r="K125" i="1"/>
  <c r="L125" i="1"/>
  <c r="M125" i="1"/>
  <c r="N125" i="1"/>
  <c r="O125" i="1"/>
  <c r="P125" i="1"/>
  <c r="Q125" i="1"/>
  <c r="R125" i="1"/>
  <c r="S125" i="1"/>
  <c r="J134" i="1"/>
  <c r="K134" i="1"/>
  <c r="L134" i="1"/>
  <c r="M134" i="1"/>
  <c r="N134" i="1"/>
  <c r="O134" i="1"/>
  <c r="P134" i="1"/>
  <c r="Q134" i="1"/>
  <c r="R134" i="1"/>
  <c r="S134" i="1"/>
  <c r="J139" i="1"/>
  <c r="K139" i="1"/>
  <c r="L139" i="1"/>
  <c r="M139" i="1"/>
  <c r="N139" i="1"/>
  <c r="O139" i="1"/>
  <c r="P139" i="1"/>
  <c r="Q139" i="1"/>
  <c r="R139" i="1"/>
  <c r="S139" i="1"/>
  <c r="J142" i="1"/>
  <c r="K142" i="1"/>
  <c r="L142" i="1"/>
  <c r="M142" i="1"/>
  <c r="N142" i="1"/>
  <c r="O142" i="1"/>
  <c r="P142" i="1"/>
  <c r="Q142" i="1"/>
  <c r="R142" i="1"/>
  <c r="S142" i="1"/>
  <c r="J146" i="1"/>
  <c r="K146" i="1"/>
  <c r="L146" i="1"/>
  <c r="M146" i="1"/>
  <c r="N146" i="1"/>
  <c r="O146" i="1"/>
  <c r="P146" i="1"/>
  <c r="Q146" i="1"/>
  <c r="R146" i="1"/>
  <c r="S146" i="1"/>
  <c r="J156" i="1"/>
  <c r="K156" i="1"/>
  <c r="L156" i="1"/>
  <c r="M156" i="1"/>
  <c r="N156" i="1"/>
  <c r="O156" i="1"/>
  <c r="P156" i="1"/>
  <c r="Q156" i="1"/>
  <c r="R156" i="1"/>
  <c r="S156" i="1"/>
  <c r="J160" i="1"/>
  <c r="K160" i="1"/>
  <c r="L160" i="1"/>
  <c r="M160" i="1"/>
  <c r="N160" i="1"/>
  <c r="O160" i="1"/>
  <c r="P160" i="1"/>
  <c r="Q160" i="1"/>
  <c r="R160" i="1"/>
  <c r="S160" i="1"/>
  <c r="J164" i="1"/>
  <c r="L164" i="1"/>
  <c r="M164" i="1"/>
  <c r="N164" i="1"/>
  <c r="O164" i="1"/>
  <c r="P164" i="1"/>
  <c r="Q164" i="1"/>
  <c r="R164" i="1"/>
  <c r="S164" i="1"/>
  <c r="J168" i="1"/>
  <c r="K168" i="1"/>
  <c r="L168" i="1"/>
  <c r="M168" i="1"/>
  <c r="N168" i="1"/>
  <c r="O168" i="1"/>
  <c r="P168" i="1"/>
  <c r="Q168" i="1"/>
  <c r="R168" i="1"/>
  <c r="S168" i="1"/>
  <c r="J179" i="1"/>
  <c r="K179" i="1"/>
  <c r="L179" i="1"/>
  <c r="M179" i="1"/>
  <c r="N179" i="1"/>
  <c r="O179" i="1"/>
  <c r="P179" i="1"/>
  <c r="Q179" i="1"/>
  <c r="R179" i="1"/>
  <c r="S179" i="1"/>
  <c r="J187" i="1"/>
  <c r="K187" i="1"/>
  <c r="L187" i="1"/>
  <c r="M187" i="1"/>
  <c r="N187" i="1"/>
  <c r="O187" i="1"/>
  <c r="P187" i="1"/>
  <c r="Q187" i="1"/>
  <c r="R187" i="1"/>
  <c r="S187" i="1"/>
  <c r="J191" i="1"/>
  <c r="K191" i="1"/>
  <c r="L191" i="1"/>
  <c r="M191" i="1"/>
  <c r="N191" i="1"/>
  <c r="O191" i="1"/>
  <c r="P191" i="1"/>
  <c r="Q191" i="1"/>
  <c r="R191" i="1"/>
  <c r="S191" i="1"/>
  <c r="K195" i="1"/>
  <c r="L195" i="1"/>
  <c r="M195" i="1"/>
  <c r="N195" i="1"/>
  <c r="O195" i="1"/>
  <c r="P195" i="1"/>
  <c r="Q195" i="1"/>
  <c r="R195" i="1"/>
  <c r="S195" i="1"/>
  <c r="J205" i="1"/>
  <c r="K205" i="1"/>
  <c r="L205" i="1"/>
  <c r="M205" i="1"/>
  <c r="N205" i="1"/>
  <c r="O205" i="1"/>
  <c r="P205" i="1"/>
  <c r="Q205" i="1"/>
  <c r="R205" i="1"/>
  <c r="S205" i="1"/>
  <c r="J209" i="1"/>
  <c r="K209" i="1"/>
  <c r="L209" i="1"/>
  <c r="M209" i="1"/>
  <c r="N209" i="1"/>
  <c r="O209" i="1"/>
  <c r="P209" i="1"/>
  <c r="Q209" i="1"/>
  <c r="R209" i="1"/>
  <c r="S209" i="1"/>
  <c r="F308" i="1"/>
  <c r="J290" i="1"/>
  <c r="K290" i="1"/>
  <c r="L290" i="1"/>
  <c r="M290" i="1"/>
  <c r="N290" i="1"/>
  <c r="O290" i="1"/>
  <c r="P290" i="1"/>
  <c r="Q290" i="1"/>
  <c r="R290" i="1"/>
  <c r="S290" i="1"/>
  <c r="J286" i="1"/>
  <c r="J288" i="1" s="1"/>
  <c r="K286" i="1"/>
  <c r="K288" i="1" s="1"/>
  <c r="L286" i="1"/>
  <c r="L288" i="1" s="1"/>
  <c r="M286" i="1"/>
  <c r="M288" i="1" s="1"/>
  <c r="N286" i="1"/>
  <c r="N288" i="1" s="1"/>
  <c r="O286" i="1"/>
  <c r="O288" i="1" s="1"/>
  <c r="P286" i="1"/>
  <c r="P288" i="1" s="1"/>
  <c r="Q286" i="1"/>
  <c r="Q288" i="1" s="1"/>
  <c r="R286" i="1"/>
  <c r="R288" i="1" s="1"/>
  <c r="S286" i="1"/>
  <c r="S288" i="1" s="1"/>
  <c r="J269" i="1"/>
  <c r="J271" i="1" s="1"/>
  <c r="K269" i="1"/>
  <c r="K271" i="1" s="1"/>
  <c r="L269" i="1"/>
  <c r="L271" i="1" s="1"/>
  <c r="M269" i="1"/>
  <c r="M271" i="1" s="1"/>
  <c r="N269" i="1"/>
  <c r="N271" i="1" s="1"/>
  <c r="O269" i="1"/>
  <c r="O271" i="1" s="1"/>
  <c r="P269" i="1"/>
  <c r="P271" i="1" s="1"/>
  <c r="Q269" i="1"/>
  <c r="Q271" i="1" s="1"/>
  <c r="R269" i="1"/>
  <c r="R271" i="1" s="1"/>
  <c r="S269" i="1"/>
  <c r="J265" i="1"/>
  <c r="K265" i="1"/>
  <c r="L265" i="1"/>
  <c r="M265" i="1"/>
  <c r="N265" i="1"/>
  <c r="O265" i="1"/>
  <c r="P265" i="1"/>
  <c r="Q265" i="1"/>
  <c r="R265" i="1"/>
  <c r="S265" i="1"/>
  <c r="J260" i="1"/>
  <c r="K260" i="1"/>
  <c r="L260" i="1"/>
  <c r="M260" i="1"/>
  <c r="N260" i="1"/>
  <c r="O260" i="1"/>
  <c r="P260" i="1"/>
  <c r="Q260" i="1"/>
  <c r="R260" i="1"/>
  <c r="S260" i="1"/>
  <c r="J256" i="1"/>
  <c r="K256" i="1"/>
  <c r="L256" i="1"/>
  <c r="M256" i="1"/>
  <c r="N256" i="1"/>
  <c r="O256" i="1"/>
  <c r="P256" i="1"/>
  <c r="Q256" i="1"/>
  <c r="R256" i="1"/>
  <c r="S256" i="1"/>
  <c r="J253" i="1"/>
  <c r="K253" i="1"/>
  <c r="L253" i="1"/>
  <c r="M253" i="1"/>
  <c r="N253" i="1"/>
  <c r="O253" i="1"/>
  <c r="P253" i="1"/>
  <c r="Q253" i="1"/>
  <c r="R253" i="1"/>
  <c r="S253" i="1"/>
  <c r="J248" i="1"/>
  <c r="K248" i="1"/>
  <c r="L248" i="1"/>
  <c r="M248" i="1"/>
  <c r="N248" i="1"/>
  <c r="O248" i="1"/>
  <c r="P248" i="1"/>
  <c r="Q248" i="1"/>
  <c r="R248" i="1"/>
  <c r="S248" i="1"/>
  <c r="J238" i="1"/>
  <c r="K238" i="1"/>
  <c r="L238" i="1"/>
  <c r="M238" i="1"/>
  <c r="N238" i="1"/>
  <c r="O238" i="1"/>
  <c r="P238" i="1"/>
  <c r="Q238" i="1"/>
  <c r="R238" i="1"/>
  <c r="S238" i="1"/>
  <c r="J235" i="1"/>
  <c r="K235" i="1"/>
  <c r="L235" i="1"/>
  <c r="M235" i="1"/>
  <c r="N235" i="1"/>
  <c r="O235" i="1"/>
  <c r="P235" i="1"/>
  <c r="Q235" i="1"/>
  <c r="R235" i="1"/>
  <c r="S235" i="1"/>
  <c r="J228" i="1"/>
  <c r="K228" i="1"/>
  <c r="L228" i="1"/>
  <c r="M228" i="1"/>
  <c r="N228" i="1"/>
  <c r="O228" i="1"/>
  <c r="P228" i="1"/>
  <c r="Q228" i="1"/>
  <c r="R228" i="1"/>
  <c r="S228" i="1"/>
  <c r="J225" i="1"/>
  <c r="K225" i="1"/>
  <c r="L225" i="1"/>
  <c r="M225" i="1"/>
  <c r="N225" i="1"/>
  <c r="O225" i="1"/>
  <c r="P225" i="1"/>
  <c r="Q225" i="1"/>
  <c r="R225" i="1"/>
  <c r="S225" i="1"/>
  <c r="J221" i="1"/>
  <c r="K221" i="1"/>
  <c r="L221" i="1"/>
  <c r="M221" i="1"/>
  <c r="N221" i="1"/>
  <c r="O221" i="1"/>
  <c r="P221" i="1"/>
  <c r="Q221" i="1"/>
  <c r="R221" i="1"/>
  <c r="S221" i="1"/>
  <c r="J217" i="1"/>
  <c r="K217" i="1"/>
  <c r="L217" i="1"/>
  <c r="M217" i="1"/>
  <c r="N217" i="1"/>
  <c r="O217" i="1"/>
  <c r="P217" i="1"/>
  <c r="Q217" i="1"/>
  <c r="R217" i="1"/>
  <c r="S217" i="1"/>
  <c r="J213" i="1"/>
  <c r="K213" i="1"/>
  <c r="L213" i="1"/>
  <c r="M213" i="1"/>
  <c r="N213" i="1"/>
  <c r="O213" i="1"/>
  <c r="P213" i="1"/>
  <c r="Q213" i="1"/>
  <c r="R213" i="1"/>
  <c r="S213" i="1"/>
  <c r="J184" i="1"/>
  <c r="K184" i="1"/>
  <c r="L184" i="1"/>
  <c r="M184" i="1"/>
  <c r="N184" i="1"/>
  <c r="O184" i="1"/>
  <c r="P184" i="1"/>
  <c r="Q184" i="1"/>
  <c r="R184" i="1"/>
  <c r="S184" i="1"/>
  <c r="J174" i="1"/>
  <c r="K174" i="1"/>
  <c r="L174" i="1"/>
  <c r="M174" i="1"/>
  <c r="N174" i="1"/>
  <c r="O174" i="1"/>
  <c r="P174" i="1"/>
  <c r="Q174" i="1"/>
  <c r="R174" i="1"/>
  <c r="S174" i="1"/>
  <c r="J68" i="1"/>
  <c r="K68" i="1"/>
  <c r="L68" i="1"/>
  <c r="M68" i="1"/>
  <c r="N68" i="1"/>
  <c r="O68" i="1"/>
  <c r="P68" i="1"/>
  <c r="Q68" i="1"/>
  <c r="R68" i="1"/>
  <c r="S68" i="1"/>
  <c r="A253" i="1"/>
  <c r="CA146" i="1" l="1"/>
  <c r="AD85" i="1"/>
  <c r="AD75" i="1"/>
  <c r="AD62" i="1"/>
  <c r="CA166" i="1"/>
  <c r="CA147" i="1"/>
  <c r="AD33" i="1"/>
  <c r="CA141" i="1"/>
  <c r="CA177" i="1"/>
  <c r="CA184" i="1"/>
  <c r="BU118" i="1"/>
  <c r="BU142" i="1"/>
  <c r="BU121" i="1"/>
  <c r="BU119" i="1"/>
  <c r="BU146" i="1"/>
  <c r="BQ146" i="1"/>
  <c r="BU168" i="1"/>
  <c r="BQ168" i="1"/>
  <c r="BU174" i="1"/>
  <c r="BU179" i="1"/>
  <c r="BQ164" i="1"/>
  <c r="BQ160" i="1"/>
  <c r="BU159" i="1"/>
  <c r="BQ156" i="1"/>
  <c r="BN115" i="1"/>
  <c r="BQ115" i="1"/>
  <c r="BN96" i="1"/>
  <c r="BQ96" i="1"/>
  <c r="BU96" i="1" s="1"/>
  <c r="CA96" i="1" s="1"/>
  <c r="BN99" i="1"/>
  <c r="BQ99" i="1"/>
  <c r="BU99" i="1" s="1"/>
  <c r="CA99" i="1" s="1"/>
  <c r="BN132" i="1"/>
  <c r="BQ132" i="1"/>
  <c r="BL185" i="1"/>
  <c r="BN150" i="1"/>
  <c r="AM135" i="1"/>
  <c r="AY107" i="1"/>
  <c r="BL105" i="1"/>
  <c r="CA105" i="1" s="1"/>
  <c r="BD103" i="1"/>
  <c r="BL103" i="1"/>
  <c r="CA103" i="1" s="1"/>
  <c r="AY110" i="1"/>
  <c r="BL108" i="1"/>
  <c r="CA108" i="1" s="1"/>
  <c r="BA133" i="1"/>
  <c r="BL133" i="1"/>
  <c r="CA133" i="1" s="1"/>
  <c r="BD131" i="1"/>
  <c r="BL131" i="1"/>
  <c r="CA131" i="1" s="1"/>
  <c r="BD127" i="1"/>
  <c r="BL127" i="1"/>
  <c r="CA127" i="1" s="1"/>
  <c r="BD90" i="1"/>
  <c r="BL90" i="1"/>
  <c r="AY113" i="1"/>
  <c r="BL111" i="1"/>
  <c r="BA139" i="1"/>
  <c r="BD126" i="1"/>
  <c r="BL126" i="1"/>
  <c r="CA126" i="1" s="1"/>
  <c r="BD109" i="1"/>
  <c r="BL109" i="1"/>
  <c r="CA109" i="1" s="1"/>
  <c r="BD114" i="1"/>
  <c r="BL114" i="1"/>
  <c r="CA114" i="1" s="1"/>
  <c r="BD116" i="1"/>
  <c r="BL116" i="1"/>
  <c r="CA116" i="1" s="1"/>
  <c r="AY125" i="1"/>
  <c r="BL123" i="1"/>
  <c r="CA123" i="1" s="1"/>
  <c r="AY93" i="1"/>
  <c r="BL91" i="1"/>
  <c r="CA91" i="1" s="1"/>
  <c r="AY122" i="1"/>
  <c r="BL120" i="1"/>
  <c r="BD100" i="1"/>
  <c r="BL100" i="1"/>
  <c r="CA100" i="1" s="1"/>
  <c r="BD129" i="1"/>
  <c r="BL129" i="1"/>
  <c r="CA129" i="1" s="1"/>
  <c r="BD97" i="1"/>
  <c r="BL97" i="1"/>
  <c r="AY98" i="1"/>
  <c r="BA129" i="1"/>
  <c r="BA100" i="1"/>
  <c r="BA97" i="1"/>
  <c r="BA103" i="1"/>
  <c r="AY134" i="1"/>
  <c r="BA116" i="1"/>
  <c r="BD133" i="1"/>
  <c r="AY101" i="1"/>
  <c r="BA114" i="1"/>
  <c r="BA126" i="1"/>
  <c r="AY117" i="1"/>
  <c r="AY104" i="1"/>
  <c r="BD140" i="1"/>
  <c r="AD53" i="1"/>
  <c r="AD56" i="1" s="1"/>
  <c r="AU68" i="1"/>
  <c r="BD91" i="1"/>
  <c r="BD115" i="1"/>
  <c r="BD120" i="1"/>
  <c r="BD111" i="1"/>
  <c r="BD99" i="1"/>
  <c r="AY18" i="1"/>
  <c r="BD108" i="1"/>
  <c r="BD105" i="1"/>
  <c r="BD132" i="1"/>
  <c r="BD104" i="1"/>
  <c r="AU76" i="1"/>
  <c r="AU79" i="1" s="1"/>
  <c r="AU40" i="1"/>
  <c r="AU43" i="1" s="1"/>
  <c r="AU46" i="1"/>
  <c r="AU49" i="1" s="1"/>
  <c r="AU60" i="1"/>
  <c r="AU62" i="1" s="1"/>
  <c r="AU11" i="1"/>
  <c r="AU13" i="1" s="1"/>
  <c r="AU50" i="1"/>
  <c r="AU52" i="1" s="1"/>
  <c r="AU34" i="1"/>
  <c r="AU36" i="1" s="1"/>
  <c r="AU63" i="1"/>
  <c r="AU65" i="1" s="1"/>
  <c r="AC39" i="1"/>
  <c r="AU83" i="1"/>
  <c r="AU85" i="1" s="1"/>
  <c r="AU72" i="1"/>
  <c r="AU75" i="1" s="1"/>
  <c r="AU69" i="1"/>
  <c r="AU71" i="1" s="1"/>
  <c r="AU14" i="1"/>
  <c r="AU16" i="1" s="1"/>
  <c r="AU17" i="1"/>
  <c r="AU24" i="1" s="1"/>
  <c r="AU26" i="1" s="1"/>
  <c r="BA102" i="1"/>
  <c r="AU8" i="1"/>
  <c r="AU10" i="1" s="1"/>
  <c r="AD29" i="1"/>
  <c r="AU27" i="1"/>
  <c r="AU29" i="1" s="1"/>
  <c r="AU80" i="1"/>
  <c r="AU82" i="1" s="1"/>
  <c r="AU30" i="1"/>
  <c r="AU33" i="1" s="1"/>
  <c r="AU57" i="1"/>
  <c r="AU59" i="1" s="1"/>
  <c r="AC68" i="1"/>
  <c r="AC135" i="1"/>
  <c r="AQ113" i="1"/>
  <c r="AI68" i="1"/>
  <c r="AQ110" i="1"/>
  <c r="AQ107" i="1"/>
  <c r="AQ134" i="1"/>
  <c r="AQ125" i="1"/>
  <c r="AQ117" i="1"/>
  <c r="AQ122" i="1"/>
  <c r="AQ21" i="1"/>
  <c r="AY21" i="1" s="1"/>
  <c r="AQ93" i="1"/>
  <c r="AQ98" i="1"/>
  <c r="AQ101" i="1"/>
  <c r="AQ22" i="1"/>
  <c r="AY22" i="1" s="1"/>
  <c r="AQ38" i="1"/>
  <c r="AY38" i="1" s="1"/>
  <c r="AQ64" i="1"/>
  <c r="AQ20" i="1"/>
  <c r="AY20" i="1" s="1"/>
  <c r="AQ42" i="1"/>
  <c r="AQ28" i="1"/>
  <c r="AQ51" i="1"/>
  <c r="AY51" i="1" s="1"/>
  <c r="BL51" i="1" s="1"/>
  <c r="CA51" i="1" s="1"/>
  <c r="AQ9" i="1"/>
  <c r="AQ54" i="1"/>
  <c r="AQ67" i="1"/>
  <c r="AY67" i="1" s="1"/>
  <c r="BL67" i="1" s="1"/>
  <c r="AQ44" i="1"/>
  <c r="AQ19" i="1"/>
  <c r="AQ15" i="1"/>
  <c r="AY15" i="1" s="1"/>
  <c r="AQ58" i="1"/>
  <c r="AY58" i="1" s="1"/>
  <c r="BL58" i="1" s="1"/>
  <c r="CA58" i="1" s="1"/>
  <c r="AQ41" i="1"/>
  <c r="AQ87" i="1"/>
  <c r="AQ35" i="1"/>
  <c r="AQ12" i="1"/>
  <c r="AY12" i="1" s="1"/>
  <c r="AQ78" i="1"/>
  <c r="AY78" i="1" s="1"/>
  <c r="BL78" i="1" s="1"/>
  <c r="AQ86" i="1"/>
  <c r="AY86" i="1" s="1"/>
  <c r="BL86" i="1" s="1"/>
  <c r="CA86" i="1" s="1"/>
  <c r="AQ45" i="1"/>
  <c r="AY45" i="1" s="1"/>
  <c r="BL45" i="1" s="1"/>
  <c r="AQ23" i="1"/>
  <c r="AY23" i="1" s="1"/>
  <c r="AQ70" i="1"/>
  <c r="AQ77" i="1"/>
  <c r="AY77" i="1" s="1"/>
  <c r="BL77" i="1" s="1"/>
  <c r="CA77" i="1" s="1"/>
  <c r="AQ66" i="1"/>
  <c r="AY66" i="1" s="1"/>
  <c r="BL66" i="1" s="1"/>
  <c r="AQ81" i="1"/>
  <c r="AI27" i="1"/>
  <c r="AI29" i="1" s="1"/>
  <c r="AM27" i="1"/>
  <c r="AC27" i="1"/>
  <c r="AI30" i="1"/>
  <c r="AI33" i="1" s="1"/>
  <c r="AM30" i="1"/>
  <c r="AM33" i="1" s="1"/>
  <c r="AI8" i="1"/>
  <c r="AI10" i="1" s="1"/>
  <c r="AM8" i="1"/>
  <c r="Z8" i="1"/>
  <c r="AI46" i="1"/>
  <c r="AI49" i="1" s="1"/>
  <c r="AM46" i="1"/>
  <c r="AI11" i="1"/>
  <c r="AI13" i="1" s="1"/>
  <c r="AM11" i="1"/>
  <c r="AC11" i="1"/>
  <c r="AI76" i="1"/>
  <c r="AI79" i="1" s="1"/>
  <c r="AM76" i="1"/>
  <c r="AC76" i="1"/>
  <c r="AI50" i="1"/>
  <c r="AI52" i="1" s="1"/>
  <c r="AM50" i="1"/>
  <c r="AC50" i="1"/>
  <c r="AI53" i="1"/>
  <c r="AI56" i="1" s="1"/>
  <c r="AI34" i="1"/>
  <c r="AI36" i="1" s="1"/>
  <c r="AM34" i="1"/>
  <c r="AC34" i="1"/>
  <c r="AI63" i="1"/>
  <c r="AI65" i="1" s="1"/>
  <c r="AM63" i="1"/>
  <c r="AC63" i="1"/>
  <c r="S185" i="1"/>
  <c r="AD82" i="1"/>
  <c r="AM80" i="1"/>
  <c r="AC80" i="1"/>
  <c r="AI57" i="1"/>
  <c r="AI59" i="1" s="1"/>
  <c r="AM57" i="1"/>
  <c r="AC57" i="1"/>
  <c r="AI40" i="1"/>
  <c r="AI43" i="1" s="1"/>
  <c r="AM40" i="1"/>
  <c r="AC40" i="1"/>
  <c r="AI60" i="1"/>
  <c r="AI62" i="1" s="1"/>
  <c r="AM60" i="1"/>
  <c r="AM62" i="1" s="1"/>
  <c r="AC60" i="1"/>
  <c r="AM39" i="1"/>
  <c r="AM68" i="1"/>
  <c r="AI83" i="1"/>
  <c r="AI85" i="1" s="1"/>
  <c r="AM83" i="1"/>
  <c r="AM85" i="1" s="1"/>
  <c r="AC83" i="1"/>
  <c r="AI72" i="1"/>
  <c r="AI75" i="1" s="1"/>
  <c r="AM72" i="1"/>
  <c r="AM75" i="1" s="1"/>
  <c r="AC72" i="1"/>
  <c r="AI69" i="1"/>
  <c r="AI71" i="1" s="1"/>
  <c r="AM69" i="1"/>
  <c r="AC69" i="1"/>
  <c r="AD16" i="1"/>
  <c r="AM14" i="1"/>
  <c r="AC14" i="1"/>
  <c r="AI17" i="1"/>
  <c r="AI24" i="1" s="1"/>
  <c r="AI26" i="1" s="1"/>
  <c r="AM17" i="1"/>
  <c r="AC17" i="1"/>
  <c r="AG68" i="1"/>
  <c r="AG80" i="1"/>
  <c r="AG82" i="1" s="1"/>
  <c r="AI80" i="1"/>
  <c r="AI82" i="1" s="1"/>
  <c r="AG14" i="1"/>
  <c r="AG16" i="1" s="1"/>
  <c r="AI14" i="1"/>
  <c r="AI16" i="1" s="1"/>
  <c r="AD52" i="1"/>
  <c r="AG50" i="1"/>
  <c r="AG52" i="1" s="1"/>
  <c r="AD36" i="1"/>
  <c r="AG34" i="1"/>
  <c r="AG36" i="1" s="1"/>
  <c r="AD65" i="1"/>
  <c r="AG63" i="1"/>
  <c r="AG65" i="1" s="1"/>
  <c r="AG27" i="1"/>
  <c r="AG29" i="1" s="1"/>
  <c r="AG30" i="1"/>
  <c r="AG33" i="1" s="1"/>
  <c r="AD59" i="1"/>
  <c r="AG57" i="1"/>
  <c r="AG59" i="1" s="1"/>
  <c r="AD10" i="1"/>
  <c r="AG8" i="1"/>
  <c r="AG10" i="1" s="1"/>
  <c r="AD13" i="1"/>
  <c r="AG11" i="1"/>
  <c r="AG13" i="1" s="1"/>
  <c r="AD79" i="1"/>
  <c r="AG76" i="1"/>
  <c r="AG79" i="1" s="1"/>
  <c r="AG83" i="1"/>
  <c r="AG85" i="1" s="1"/>
  <c r="AD43" i="1"/>
  <c r="AG40" i="1"/>
  <c r="AG43" i="1" s="1"/>
  <c r="AG72" i="1"/>
  <c r="AG75" i="1" s="1"/>
  <c r="AD49" i="1"/>
  <c r="AG46" i="1"/>
  <c r="AG49" i="1" s="1"/>
  <c r="AD71" i="1"/>
  <c r="AG69" i="1"/>
  <c r="AG71" i="1" s="1"/>
  <c r="AG60" i="1"/>
  <c r="AG62" i="1" s="1"/>
  <c r="AD24" i="1"/>
  <c r="AG17" i="1"/>
  <c r="AG24" i="1" s="1"/>
  <c r="AG26" i="1" s="1"/>
  <c r="S271" i="1"/>
  <c r="R6" i="1"/>
  <c r="X6" i="1" s="1"/>
  <c r="AD6" i="1" s="1"/>
  <c r="M240" i="1"/>
  <c r="O240" i="1"/>
  <c r="P262" i="1"/>
  <c r="R5" i="1"/>
  <c r="X5" i="1" s="1"/>
  <c r="X7" i="1" s="1"/>
  <c r="X89" i="1" s="1"/>
  <c r="X310" i="1" s="1"/>
  <c r="L135" i="1"/>
  <c r="M7" i="1"/>
  <c r="M89" i="1" s="1"/>
  <c r="Q7" i="1"/>
  <c r="Q89" i="1" s="1"/>
  <c r="M135" i="1"/>
  <c r="K135" i="1"/>
  <c r="S135" i="1"/>
  <c r="N135" i="1"/>
  <c r="P135" i="1"/>
  <c r="J135" i="1"/>
  <c r="R135" i="1"/>
  <c r="Q135" i="1"/>
  <c r="O135" i="1"/>
  <c r="O185" i="1"/>
  <c r="Q185" i="1"/>
  <c r="P185" i="1"/>
  <c r="K223" i="1"/>
  <c r="J223" i="1"/>
  <c r="N240" i="1"/>
  <c r="O262" i="1"/>
  <c r="N185" i="1"/>
  <c r="N262" i="1"/>
  <c r="O89" i="1"/>
  <c r="M185" i="1"/>
  <c r="L240" i="1"/>
  <c r="M262" i="1"/>
  <c r="N89" i="1"/>
  <c r="L185" i="1"/>
  <c r="K240" i="1"/>
  <c r="L262" i="1"/>
  <c r="K185" i="1"/>
  <c r="J240" i="1"/>
  <c r="K262" i="1"/>
  <c r="L223" i="1"/>
  <c r="J262" i="1"/>
  <c r="R185" i="1"/>
  <c r="K89" i="1"/>
  <c r="J89" i="1"/>
  <c r="J185" i="1"/>
  <c r="S240" i="1"/>
  <c r="R240" i="1"/>
  <c r="S262" i="1"/>
  <c r="Q240" i="1"/>
  <c r="R262" i="1"/>
  <c r="S89" i="1"/>
  <c r="P240" i="1"/>
  <c r="Q262" i="1"/>
  <c r="P89" i="1"/>
  <c r="L89" i="1"/>
  <c r="CA101" i="1" l="1"/>
  <c r="CA110" i="1"/>
  <c r="CA107" i="1"/>
  <c r="CA119" i="1"/>
  <c r="CA156" i="1"/>
  <c r="CA134" i="1"/>
  <c r="CA93" i="1"/>
  <c r="CA142" i="1"/>
  <c r="CA117" i="1"/>
  <c r="CA168" i="1"/>
  <c r="CA159" i="1"/>
  <c r="CA121" i="1"/>
  <c r="CA179" i="1"/>
  <c r="BQ45" i="1"/>
  <c r="CA45" i="1"/>
  <c r="CA125" i="1"/>
  <c r="CA118" i="1"/>
  <c r="CA104" i="1"/>
  <c r="AC53" i="1"/>
  <c r="AC56" i="1" s="1"/>
  <c r="AG53" i="1"/>
  <c r="AG56" i="1" s="1"/>
  <c r="BU2" i="1"/>
  <c r="BQ120" i="1"/>
  <c r="BQ105" i="1"/>
  <c r="BU107" i="1" s="1"/>
  <c r="BQ114" i="1"/>
  <c r="BU160" i="1"/>
  <c r="BQ111" i="1"/>
  <c r="BU111" i="1" s="1"/>
  <c r="CA111" i="1" s="1"/>
  <c r="BQ133" i="1"/>
  <c r="BQ103" i="1"/>
  <c r="BQ104" i="1" s="1"/>
  <c r="BQ123" i="1"/>
  <c r="BQ97" i="1"/>
  <c r="BU97" i="1" s="1"/>
  <c r="CA97" i="1" s="1"/>
  <c r="BQ100" i="1"/>
  <c r="BQ101" i="1" s="1"/>
  <c r="BQ91" i="1"/>
  <c r="BU93" i="1" s="1"/>
  <c r="BQ116" i="1"/>
  <c r="BU156" i="1"/>
  <c r="BU164" i="1"/>
  <c r="BU101" i="1"/>
  <c r="BU117" i="1"/>
  <c r="BU104" i="1"/>
  <c r="BQ185" i="1"/>
  <c r="BN77" i="1"/>
  <c r="BQ77" i="1"/>
  <c r="BN86" i="1"/>
  <c r="BQ86" i="1"/>
  <c r="BN58" i="1"/>
  <c r="BQ58" i="1"/>
  <c r="BN67" i="1"/>
  <c r="BQ67" i="1"/>
  <c r="BU67" i="1" s="1"/>
  <c r="CA67" i="1" s="1"/>
  <c r="BN90" i="1"/>
  <c r="BQ90" i="1"/>
  <c r="BU90" i="1" s="1"/>
  <c r="CA90" i="1" s="1"/>
  <c r="BN127" i="1"/>
  <c r="BQ127" i="1"/>
  <c r="BN131" i="1"/>
  <c r="BQ131" i="1"/>
  <c r="BN66" i="1"/>
  <c r="BN68" i="1" s="1"/>
  <c r="BQ66" i="1"/>
  <c r="BN78" i="1"/>
  <c r="BN51" i="1"/>
  <c r="BQ51" i="1"/>
  <c r="BN129" i="1"/>
  <c r="BQ129" i="1"/>
  <c r="BN109" i="1"/>
  <c r="BQ109" i="1"/>
  <c r="BN126" i="1"/>
  <c r="BQ126" i="1"/>
  <c r="BN108" i="1"/>
  <c r="BN110" i="1" s="1"/>
  <c r="BQ108" i="1"/>
  <c r="BL113" i="1"/>
  <c r="BN111" i="1"/>
  <c r="BN113" i="1" s="1"/>
  <c r="BL134" i="1"/>
  <c r="BN133" i="1"/>
  <c r="BN134" i="1" s="1"/>
  <c r="BL98" i="1"/>
  <c r="BN97" i="1"/>
  <c r="BN98" i="1" s="1"/>
  <c r="BL101" i="1"/>
  <c r="BN100" i="1"/>
  <c r="BN101" i="1" s="1"/>
  <c r="BL122" i="1"/>
  <c r="BN120" i="1"/>
  <c r="BN122" i="1" s="1"/>
  <c r="BL93" i="1"/>
  <c r="BN91" i="1"/>
  <c r="BN93" i="1" s="1"/>
  <c r="BL125" i="1"/>
  <c r="BN123" i="1"/>
  <c r="BN125" i="1" s="1"/>
  <c r="BL117" i="1"/>
  <c r="BN116" i="1"/>
  <c r="BN117" i="1" s="1"/>
  <c r="BN114" i="1"/>
  <c r="BL104" i="1"/>
  <c r="BN103" i="1"/>
  <c r="BN104" i="1" s="1"/>
  <c r="BL107" i="1"/>
  <c r="BN105" i="1"/>
  <c r="BN107" i="1" s="1"/>
  <c r="BN152" i="1"/>
  <c r="BN151" i="1"/>
  <c r="AQ135" i="1"/>
  <c r="AY135" i="1"/>
  <c r="BL68" i="1"/>
  <c r="BD23" i="1"/>
  <c r="BL23" i="1"/>
  <c r="BD12" i="1"/>
  <c r="BL12" i="1"/>
  <c r="AY39" i="1"/>
  <c r="BL38" i="1"/>
  <c r="BD18" i="1"/>
  <c r="BL18" i="1"/>
  <c r="BL110" i="1"/>
  <c r="BD20" i="1"/>
  <c r="BL20" i="1"/>
  <c r="BD15" i="1"/>
  <c r="BL15" i="1"/>
  <c r="CA15" i="1" s="1"/>
  <c r="BD22" i="1"/>
  <c r="BL22" i="1"/>
  <c r="CA22" i="1" s="1"/>
  <c r="BD21" i="1"/>
  <c r="BL21" i="1"/>
  <c r="BA104" i="1"/>
  <c r="AY68" i="1"/>
  <c r="AU53" i="1"/>
  <c r="AU56" i="1" s="1"/>
  <c r="AY35" i="1"/>
  <c r="BA35" i="1" s="1"/>
  <c r="AY54" i="1"/>
  <c r="AY42" i="1"/>
  <c r="AY87" i="1"/>
  <c r="BA87" i="1" s="1"/>
  <c r="AY70" i="1"/>
  <c r="BA70" i="1" s="1"/>
  <c r="AY41" i="1"/>
  <c r="AY44" i="1"/>
  <c r="AY64" i="1"/>
  <c r="AY81" i="1"/>
  <c r="BD141" i="1"/>
  <c r="BA141" i="1"/>
  <c r="BA142" i="1" s="1"/>
  <c r="BA18" i="1"/>
  <c r="AM53" i="1"/>
  <c r="AM56" i="1" s="1"/>
  <c r="BD78" i="1"/>
  <c r="BD51" i="1"/>
  <c r="BD107" i="1"/>
  <c r="BD96" i="1"/>
  <c r="AQ30" i="1"/>
  <c r="AQ33" i="1" s="1"/>
  <c r="BD77" i="1"/>
  <c r="BA86" i="1"/>
  <c r="AY19" i="1"/>
  <c r="AY9" i="1"/>
  <c r="BD110" i="1"/>
  <c r="BD113" i="1"/>
  <c r="BD117" i="1"/>
  <c r="BD66" i="1"/>
  <c r="BD45" i="1"/>
  <c r="BD134" i="1"/>
  <c r="BD123" i="1"/>
  <c r="BD58" i="1"/>
  <c r="BD67" i="1"/>
  <c r="AY28" i="1"/>
  <c r="BD38" i="1"/>
  <c r="BD101" i="1"/>
  <c r="BD122" i="1"/>
  <c r="BD93" i="1"/>
  <c r="AU6" i="1"/>
  <c r="BA45" i="1"/>
  <c r="BN45" i="1" s="1"/>
  <c r="BA15" i="1"/>
  <c r="BA22" i="1"/>
  <c r="BA21" i="1"/>
  <c r="BA111" i="1"/>
  <c r="BA113" i="1" s="1"/>
  <c r="BA105" i="1"/>
  <c r="BA107" i="1" s="1"/>
  <c r="BA108" i="1"/>
  <c r="BA110" i="1" s="1"/>
  <c r="AC71" i="1"/>
  <c r="AC13" i="1"/>
  <c r="AC59" i="1"/>
  <c r="AC36" i="1"/>
  <c r="BA23" i="1"/>
  <c r="BA12" i="1"/>
  <c r="BA120" i="1"/>
  <c r="BA122" i="1" s="1"/>
  <c r="BA91" i="1"/>
  <c r="BA93" i="1" s="1"/>
  <c r="AC16" i="1"/>
  <c r="BA78" i="1"/>
  <c r="BO78" i="1" s="1"/>
  <c r="BO79" i="1" s="1"/>
  <c r="BO89" i="1" s="1"/>
  <c r="BO310" i="1" s="1"/>
  <c r="BA51" i="1"/>
  <c r="BA96" i="1"/>
  <c r="BA98" i="1" s="1"/>
  <c r="BA132" i="1"/>
  <c r="BA134" i="1" s="1"/>
  <c r="AC43" i="1"/>
  <c r="AC79" i="1"/>
  <c r="AC65" i="1"/>
  <c r="AC52" i="1"/>
  <c r="AC82" i="1"/>
  <c r="BA77" i="1"/>
  <c r="BA20" i="1"/>
  <c r="BA99" i="1"/>
  <c r="BA101" i="1" s="1"/>
  <c r="AC29" i="1"/>
  <c r="BA115" i="1"/>
  <c r="BA117" i="1" s="1"/>
  <c r="BA123" i="1"/>
  <c r="BA125" i="1" s="1"/>
  <c r="AC75" i="1"/>
  <c r="AC85" i="1"/>
  <c r="AQ39" i="1"/>
  <c r="AQ68" i="1"/>
  <c r="AQ17" i="1"/>
  <c r="AY17" i="1" s="1"/>
  <c r="BL17" i="1" s="1"/>
  <c r="AQ83" i="1"/>
  <c r="AQ57" i="1"/>
  <c r="AY57" i="1" s="1"/>
  <c r="AQ34" i="1"/>
  <c r="AY34" i="1" s="1"/>
  <c r="AQ72" i="1"/>
  <c r="AQ40" i="1"/>
  <c r="AY40" i="1" s="1"/>
  <c r="BL40" i="1" s="1"/>
  <c r="CA40" i="1" s="1"/>
  <c r="AQ63" i="1"/>
  <c r="AY63" i="1" s="1"/>
  <c r="BL63" i="1" s="1"/>
  <c r="CA63" i="1" s="1"/>
  <c r="AQ76" i="1"/>
  <c r="AY76" i="1" s="1"/>
  <c r="AQ11" i="1"/>
  <c r="AY11" i="1" s="1"/>
  <c r="BL11" i="1" s="1"/>
  <c r="AQ14" i="1"/>
  <c r="AY14" i="1" s="1"/>
  <c r="BL14" i="1" s="1"/>
  <c r="CA14" i="1" s="1"/>
  <c r="AQ80" i="1"/>
  <c r="AY80" i="1" s="1"/>
  <c r="BL80" i="1" s="1"/>
  <c r="AQ46" i="1"/>
  <c r="AY46" i="1" s="1"/>
  <c r="AQ69" i="1"/>
  <c r="AY69" i="1" s="1"/>
  <c r="AQ60" i="1"/>
  <c r="AQ50" i="1"/>
  <c r="AY50" i="1" s="1"/>
  <c r="AQ8" i="1"/>
  <c r="AQ27" i="1"/>
  <c r="AY27" i="1" s="1"/>
  <c r="BL27" i="1" s="1"/>
  <c r="AD26" i="1"/>
  <c r="AC24" i="1"/>
  <c r="AM16" i="1"/>
  <c r="AM71" i="1"/>
  <c r="AM43" i="1"/>
  <c r="AM59" i="1"/>
  <c r="AM82" i="1"/>
  <c r="AM65" i="1"/>
  <c r="AM36" i="1"/>
  <c r="AM52" i="1"/>
  <c r="AM79" i="1"/>
  <c r="AM13" i="1"/>
  <c r="AM49" i="1"/>
  <c r="AM6" i="1"/>
  <c r="Z6" i="1"/>
  <c r="AB6" i="1" s="1"/>
  <c r="AC6" i="1" s="1"/>
  <c r="Z10" i="1"/>
  <c r="AB8" i="1"/>
  <c r="AM24" i="1"/>
  <c r="AM26" i="1" s="1"/>
  <c r="AM10" i="1"/>
  <c r="AM29" i="1"/>
  <c r="AG6" i="1"/>
  <c r="AI6" i="1"/>
  <c r="AD5" i="1"/>
  <c r="R7" i="1"/>
  <c r="R89" i="1" s="1"/>
  <c r="F310" i="1"/>
  <c r="J310" i="1"/>
  <c r="M223" i="1"/>
  <c r="M310" i="1" s="1"/>
  <c r="K310" i="1"/>
  <c r="L310" i="1"/>
  <c r="CA98" i="1" l="1"/>
  <c r="CA113" i="1"/>
  <c r="CA160" i="1"/>
  <c r="CA185" i="1" s="1"/>
  <c r="CA16" i="1"/>
  <c r="BQ122" i="1"/>
  <c r="BU120" i="1"/>
  <c r="BU113" i="1"/>
  <c r="BU185" i="1"/>
  <c r="BU98" i="1"/>
  <c r="BQ93" i="1"/>
  <c r="BQ113" i="1"/>
  <c r="BQ107" i="1"/>
  <c r="BQ134" i="1"/>
  <c r="BU134" i="1"/>
  <c r="BQ98" i="1"/>
  <c r="BU125" i="1"/>
  <c r="BQ21" i="1"/>
  <c r="BQ15" i="1"/>
  <c r="BQ22" i="1"/>
  <c r="BQ117" i="1"/>
  <c r="BQ125" i="1"/>
  <c r="BQ11" i="1"/>
  <c r="BU11" i="1" s="1"/>
  <c r="BQ38" i="1"/>
  <c r="BU38" i="1" s="1"/>
  <c r="CA38" i="1" s="1"/>
  <c r="BQ110" i="1"/>
  <c r="BU110" i="1"/>
  <c r="BQ68" i="1"/>
  <c r="BU66" i="1"/>
  <c r="BN135" i="1"/>
  <c r="BN27" i="1"/>
  <c r="BQ27" i="1"/>
  <c r="BU27" i="1" s="1"/>
  <c r="BN80" i="1"/>
  <c r="BQ80" i="1"/>
  <c r="BU80" i="1" s="1"/>
  <c r="CA80" i="1" s="1"/>
  <c r="BN63" i="1"/>
  <c r="BQ63" i="1"/>
  <c r="BN17" i="1"/>
  <c r="BQ17" i="1"/>
  <c r="BU17" i="1" s="1"/>
  <c r="CA17" i="1" s="1"/>
  <c r="BS78" i="1"/>
  <c r="BN20" i="1"/>
  <c r="BQ20" i="1"/>
  <c r="BN18" i="1"/>
  <c r="BQ18" i="1"/>
  <c r="BN14" i="1"/>
  <c r="BQ14" i="1"/>
  <c r="BN40" i="1"/>
  <c r="BQ40" i="1"/>
  <c r="BN12" i="1"/>
  <c r="BQ12" i="1"/>
  <c r="BN23" i="1"/>
  <c r="BQ23" i="1"/>
  <c r="BQ78" i="1"/>
  <c r="BL13" i="1"/>
  <c r="BN11" i="1"/>
  <c r="BN21" i="1"/>
  <c r="BN22" i="1"/>
  <c r="BN15" i="1"/>
  <c r="BL135" i="1"/>
  <c r="BL39" i="1"/>
  <c r="BN38" i="1"/>
  <c r="BN39" i="1" s="1"/>
  <c r="BN153" i="1"/>
  <c r="BL16" i="1"/>
  <c r="BA135" i="1"/>
  <c r="AQ53" i="1"/>
  <c r="AY53" i="1" s="1"/>
  <c r="AY56" i="1" s="1"/>
  <c r="AY49" i="1"/>
  <c r="BL46" i="1"/>
  <c r="BA81" i="1"/>
  <c r="BL81" i="1"/>
  <c r="BD70" i="1"/>
  <c r="BL70" i="1"/>
  <c r="CA70" i="1" s="1"/>
  <c r="BD35" i="1"/>
  <c r="BL35" i="1"/>
  <c r="CA35" i="1" s="1"/>
  <c r="AY52" i="1"/>
  <c r="BL50" i="1"/>
  <c r="CA50" i="1" s="1"/>
  <c r="AY79" i="1"/>
  <c r="BL76" i="1"/>
  <c r="AY36" i="1"/>
  <c r="BL34" i="1"/>
  <c r="CA34" i="1" s="1"/>
  <c r="BD9" i="1"/>
  <c r="BL9" i="1"/>
  <c r="BD64" i="1"/>
  <c r="BL64" i="1"/>
  <c r="CA64" i="1" s="1"/>
  <c r="BD87" i="1"/>
  <c r="BL87" i="1"/>
  <c r="CA87" i="1" s="1"/>
  <c r="AY59" i="1"/>
  <c r="BL57" i="1"/>
  <c r="BD44" i="1"/>
  <c r="BL44" i="1"/>
  <c r="BD42" i="1"/>
  <c r="BL42" i="1"/>
  <c r="AY71" i="1"/>
  <c r="BL69" i="1"/>
  <c r="CA69" i="1" s="1"/>
  <c r="BA28" i="1"/>
  <c r="BL28" i="1"/>
  <c r="CA28" i="1" s="1"/>
  <c r="BD19" i="1"/>
  <c r="BL19" i="1"/>
  <c r="BA41" i="1"/>
  <c r="BL41" i="1"/>
  <c r="BD54" i="1"/>
  <c r="BL54" i="1"/>
  <c r="AY43" i="1"/>
  <c r="BD41" i="1"/>
  <c r="BA19" i="1"/>
  <c r="AY65" i="1"/>
  <c r="BA64" i="1"/>
  <c r="AY83" i="1"/>
  <c r="BD83" i="1" s="1"/>
  <c r="BD85" i="1" s="1"/>
  <c r="AQ85" i="1"/>
  <c r="AY72" i="1"/>
  <c r="AQ75" i="1"/>
  <c r="BA54" i="1"/>
  <c r="AY60" i="1"/>
  <c r="AQ62" i="1"/>
  <c r="AY82" i="1"/>
  <c r="BA9" i="1"/>
  <c r="BA44" i="1"/>
  <c r="BA42" i="1"/>
  <c r="BD81" i="1"/>
  <c r="BD142" i="1"/>
  <c r="AY30" i="1"/>
  <c r="BA67" i="1"/>
  <c r="BD80" i="1"/>
  <c r="BD98" i="1"/>
  <c r="BD11" i="1"/>
  <c r="AY13" i="1"/>
  <c r="BD50" i="1"/>
  <c r="BD52" i="1" s="1"/>
  <c r="BD34" i="1"/>
  <c r="BA58" i="1"/>
  <c r="BD46" i="1"/>
  <c r="BD28" i="1"/>
  <c r="BD86" i="1"/>
  <c r="AY8" i="1"/>
  <c r="BL8" i="1" s="1"/>
  <c r="BD17" i="1"/>
  <c r="AY24" i="1"/>
  <c r="AY26" i="1" s="1"/>
  <c r="BD27" i="1"/>
  <c r="AY29" i="1"/>
  <c r="BD69" i="1"/>
  <c r="BD14" i="1"/>
  <c r="AY16" i="1"/>
  <c r="BD40" i="1"/>
  <c r="BD39" i="1"/>
  <c r="BD125" i="1"/>
  <c r="BD135" i="1" s="1"/>
  <c r="BD68" i="1"/>
  <c r="AU5" i="1"/>
  <c r="AU7" i="1" s="1"/>
  <c r="AU89" i="1" s="1"/>
  <c r="AU310" i="1" s="1"/>
  <c r="AC26" i="1"/>
  <c r="BA66" i="1"/>
  <c r="BA38" i="1"/>
  <c r="BA39" i="1" s="1"/>
  <c r="AQ29" i="1"/>
  <c r="AQ79" i="1"/>
  <c r="AQ36" i="1"/>
  <c r="AQ49" i="1"/>
  <c r="AQ13" i="1"/>
  <c r="AQ24" i="1"/>
  <c r="AQ52" i="1"/>
  <c r="AQ16" i="1"/>
  <c r="AQ43" i="1"/>
  <c r="AQ10" i="1"/>
  <c r="AQ71" i="1"/>
  <c r="AQ82" i="1"/>
  <c r="AQ65" i="1"/>
  <c r="AQ59" i="1"/>
  <c r="AQ6" i="1"/>
  <c r="AM5" i="1"/>
  <c r="Z5" i="1"/>
  <c r="AB10" i="1"/>
  <c r="AC10" i="1" s="1"/>
  <c r="AC8" i="1"/>
  <c r="AG5" i="1"/>
  <c r="AG7" i="1" s="1"/>
  <c r="AI5" i="1"/>
  <c r="AI7" i="1" s="1"/>
  <c r="AI89" i="1" s="1"/>
  <c r="AI310" i="1" s="1"/>
  <c r="AD7" i="1"/>
  <c r="AD89" i="1" s="1"/>
  <c r="N223" i="1"/>
  <c r="N310" i="1" s="1"/>
  <c r="CA11" i="1" l="1"/>
  <c r="CA39" i="1"/>
  <c r="CA71" i="1"/>
  <c r="BQ44" i="1"/>
  <c r="BU44" i="1" s="1"/>
  <c r="CA44" i="1" s="1"/>
  <c r="CA120" i="1"/>
  <c r="CA27" i="1"/>
  <c r="CA65" i="1"/>
  <c r="CA66" i="1"/>
  <c r="CA36" i="1"/>
  <c r="CA52" i="1"/>
  <c r="BU122" i="1"/>
  <c r="BU21" i="1"/>
  <c r="BU20" i="1"/>
  <c r="BU23" i="1"/>
  <c r="BU18" i="1"/>
  <c r="BU39" i="1"/>
  <c r="BU135" i="1"/>
  <c r="BQ39" i="1"/>
  <c r="AQ56" i="1"/>
  <c r="BN44" i="1"/>
  <c r="BQ41" i="1"/>
  <c r="BU41" i="1" s="1"/>
  <c r="CA41" i="1" s="1"/>
  <c r="BQ57" i="1"/>
  <c r="BQ64" i="1"/>
  <c r="BU65" i="1" s="1"/>
  <c r="BQ8" i="1"/>
  <c r="BU8" i="1" s="1"/>
  <c r="BQ135" i="1"/>
  <c r="BQ28" i="1"/>
  <c r="BU29" i="1" s="1"/>
  <c r="BQ50" i="1"/>
  <c r="BQ52" i="1" s="1"/>
  <c r="BQ54" i="1"/>
  <c r="BQ19" i="1"/>
  <c r="BU19" i="1" s="1"/>
  <c r="CA19" i="1" s="1"/>
  <c r="BQ69" i="1"/>
  <c r="BQ76" i="1"/>
  <c r="BU76" i="1" s="1"/>
  <c r="CA76" i="1" s="1"/>
  <c r="BQ35" i="1"/>
  <c r="BQ81" i="1"/>
  <c r="BU81" i="1" s="1"/>
  <c r="CA81" i="1" s="1"/>
  <c r="BU68" i="1"/>
  <c r="BQ42" i="1"/>
  <c r="BU42" i="1" s="1"/>
  <c r="CA42" i="1" s="1"/>
  <c r="BQ46" i="1"/>
  <c r="BN13" i="1"/>
  <c r="BN16" i="1"/>
  <c r="BU52" i="1"/>
  <c r="BQ13" i="1"/>
  <c r="BU12" i="1"/>
  <c r="CA12" i="1" s="1"/>
  <c r="BQ16" i="1"/>
  <c r="BS79" i="1"/>
  <c r="BS89" i="1" s="1"/>
  <c r="BU78" i="1"/>
  <c r="CA78" i="1" s="1"/>
  <c r="BP89" i="1"/>
  <c r="BN87" i="1"/>
  <c r="BQ87" i="1"/>
  <c r="BN9" i="1"/>
  <c r="BQ9" i="1"/>
  <c r="BN34" i="1"/>
  <c r="BQ34" i="1"/>
  <c r="BN70" i="1"/>
  <c r="BQ70" i="1"/>
  <c r="BL10" i="1"/>
  <c r="BN8" i="1"/>
  <c r="BN54" i="1"/>
  <c r="BL43" i="1"/>
  <c r="BN41" i="1"/>
  <c r="BL24" i="1"/>
  <c r="BN19" i="1"/>
  <c r="BN24" i="1" s="1"/>
  <c r="BL29" i="1"/>
  <c r="BN28" i="1"/>
  <c r="BN29" i="1" s="1"/>
  <c r="BL71" i="1"/>
  <c r="BN69" i="1"/>
  <c r="BN71" i="1" s="1"/>
  <c r="BN42" i="1"/>
  <c r="BL59" i="1"/>
  <c r="BN57" i="1"/>
  <c r="BN59" i="1" s="1"/>
  <c r="BL65" i="1"/>
  <c r="BN64" i="1"/>
  <c r="BN65" i="1" s="1"/>
  <c r="BL79" i="1"/>
  <c r="BN76" i="1"/>
  <c r="BN79" i="1" s="1"/>
  <c r="BL52" i="1"/>
  <c r="BN50" i="1"/>
  <c r="BN52" i="1" s="1"/>
  <c r="BN35" i="1"/>
  <c r="BL82" i="1"/>
  <c r="BN81" i="1"/>
  <c r="BN82" i="1" s="1"/>
  <c r="BL49" i="1"/>
  <c r="BN46" i="1"/>
  <c r="BN49" i="1" s="1"/>
  <c r="BN154" i="1"/>
  <c r="BL36" i="1"/>
  <c r="BL53" i="1"/>
  <c r="AG89" i="1"/>
  <c r="AG310" i="1" s="1"/>
  <c r="AY62" i="1"/>
  <c r="BL60" i="1"/>
  <c r="CA60" i="1" s="1"/>
  <c r="AY33" i="1"/>
  <c r="BL30" i="1"/>
  <c r="AY85" i="1"/>
  <c r="BL83" i="1"/>
  <c r="AY75" i="1"/>
  <c r="BL72" i="1"/>
  <c r="BD30" i="1"/>
  <c r="BD33" i="1" s="1"/>
  <c r="BD60" i="1"/>
  <c r="BD62" i="1" s="1"/>
  <c r="BD143" i="1"/>
  <c r="BA143" i="1"/>
  <c r="BA30" i="1"/>
  <c r="BA33" i="1" s="1"/>
  <c r="BA68" i="1"/>
  <c r="BD8" i="1"/>
  <c r="AY10" i="1"/>
  <c r="BD43" i="1"/>
  <c r="BD71" i="1"/>
  <c r="BD24" i="1"/>
  <c r="BD26" i="1" s="1"/>
  <c r="BD72" i="1"/>
  <c r="BD75" i="1" s="1"/>
  <c r="BD76" i="1"/>
  <c r="BD13" i="1"/>
  <c r="BD63" i="1"/>
  <c r="BD49" i="1"/>
  <c r="BD36" i="1"/>
  <c r="BD82" i="1"/>
  <c r="AY6" i="1"/>
  <c r="BD16" i="1"/>
  <c r="BD29" i="1"/>
  <c r="BD53" i="1"/>
  <c r="BD57" i="1"/>
  <c r="BA63" i="1"/>
  <c r="BA65" i="1" s="1"/>
  <c r="BA76" i="1"/>
  <c r="BA79" i="1" s="1"/>
  <c r="BA57" i="1"/>
  <c r="BA59" i="1" s="1"/>
  <c r="BA80" i="1"/>
  <c r="BA82" i="1" s="1"/>
  <c r="BA8" i="1"/>
  <c r="BA10" i="1" s="1"/>
  <c r="BA53" i="1"/>
  <c r="BA56" i="1" s="1"/>
  <c r="BA40" i="1"/>
  <c r="BA43" i="1" s="1"/>
  <c r="BA69" i="1"/>
  <c r="BA71" i="1" s="1"/>
  <c r="BA11" i="1"/>
  <c r="BA13" i="1" s="1"/>
  <c r="BA34" i="1"/>
  <c r="BA36" i="1" s="1"/>
  <c r="BA60" i="1"/>
  <c r="BA62" i="1" s="1"/>
  <c r="BA72" i="1"/>
  <c r="BA75" i="1" s="1"/>
  <c r="BA50" i="1"/>
  <c r="BA52" i="1" s="1"/>
  <c r="BA83" i="1"/>
  <c r="BA85" i="1" s="1"/>
  <c r="BA14" i="1"/>
  <c r="BA16" i="1" s="1"/>
  <c r="BA27" i="1"/>
  <c r="BA29" i="1" s="1"/>
  <c r="BA17" i="1"/>
  <c r="BA24" i="1" s="1"/>
  <c r="BA26" i="1" s="1"/>
  <c r="BA46" i="1"/>
  <c r="BA49" i="1" s="1"/>
  <c r="AQ26" i="1"/>
  <c r="AQ5" i="1"/>
  <c r="AY5" i="1" s="1"/>
  <c r="BL5" i="1" s="1"/>
  <c r="AM7" i="1"/>
  <c r="AM89" i="1" s="1"/>
  <c r="AM310" i="1" s="1"/>
  <c r="AB5" i="1"/>
  <c r="Z7" i="1"/>
  <c r="Z89" i="1" s="1"/>
  <c r="O223" i="1"/>
  <c r="O310" i="1" s="1"/>
  <c r="CA82" i="1" l="1"/>
  <c r="CA43" i="1"/>
  <c r="CA18" i="1"/>
  <c r="CA122" i="1"/>
  <c r="CA135" i="1" s="1"/>
  <c r="CA79" i="1"/>
  <c r="CA23" i="1"/>
  <c r="CA13" i="1"/>
  <c r="CA21" i="1"/>
  <c r="CA68" i="1"/>
  <c r="CA8" i="1"/>
  <c r="CA29" i="1"/>
  <c r="CA62" i="1"/>
  <c r="CA20" i="1"/>
  <c r="BU13" i="1"/>
  <c r="BU54" i="1"/>
  <c r="BQ49" i="1"/>
  <c r="BU46" i="1"/>
  <c r="BU57" i="1"/>
  <c r="BQ79" i="1"/>
  <c r="BQ59" i="1"/>
  <c r="BU82" i="1"/>
  <c r="BQ82" i="1"/>
  <c r="BQ24" i="1"/>
  <c r="BQ26" i="1" s="1"/>
  <c r="BU43" i="1"/>
  <c r="BQ43" i="1"/>
  <c r="BQ83" i="1"/>
  <c r="BQ72" i="1"/>
  <c r="BQ75" i="1" s="1"/>
  <c r="BQ30" i="1"/>
  <c r="BU30" i="1" s="1"/>
  <c r="BQ65" i="1"/>
  <c r="BQ60" i="1"/>
  <c r="BU62" i="1" s="1"/>
  <c r="BL56" i="1"/>
  <c r="BQ29" i="1"/>
  <c r="BU79" i="1"/>
  <c r="BS310" i="1"/>
  <c r="BQ71" i="1"/>
  <c r="BQ36" i="1"/>
  <c r="BQ10" i="1"/>
  <c r="BU9" i="1"/>
  <c r="CA9" i="1" s="1"/>
  <c r="BN10" i="1"/>
  <c r="BN43" i="1"/>
  <c r="BN36" i="1"/>
  <c r="BN5" i="1"/>
  <c r="BQ5" i="1"/>
  <c r="BU5" i="1" s="1"/>
  <c r="CA5" i="1" s="1"/>
  <c r="BN53" i="1"/>
  <c r="BN56" i="1" s="1"/>
  <c r="BQ53" i="1"/>
  <c r="BU53" i="1" s="1"/>
  <c r="BL85" i="1"/>
  <c r="BN83" i="1"/>
  <c r="BN85" i="1" s="1"/>
  <c r="BL33" i="1"/>
  <c r="BN30" i="1"/>
  <c r="BN33" i="1" s="1"/>
  <c r="BL26" i="1"/>
  <c r="BN26" i="1"/>
  <c r="BL75" i="1"/>
  <c r="BN72" i="1"/>
  <c r="BN75" i="1" s="1"/>
  <c r="BL62" i="1"/>
  <c r="BN60" i="1"/>
  <c r="BN62" i="1" s="1"/>
  <c r="BN155" i="1"/>
  <c r="BN156" i="1" s="1"/>
  <c r="BD6" i="1"/>
  <c r="BL6" i="1"/>
  <c r="CA6" i="1" s="1"/>
  <c r="BD144" i="1"/>
  <c r="BA144" i="1"/>
  <c r="BD5" i="1"/>
  <c r="AY7" i="1"/>
  <c r="BD59" i="1"/>
  <c r="BA6" i="1"/>
  <c r="BD56" i="1"/>
  <c r="BD65" i="1"/>
  <c r="BD79" i="1"/>
  <c r="BD10" i="1"/>
  <c r="AQ7" i="1"/>
  <c r="AQ89" i="1" s="1"/>
  <c r="AQ310" i="1" s="1"/>
  <c r="AB7" i="1"/>
  <c r="AC7" i="1" s="1"/>
  <c r="AC5" i="1"/>
  <c r="AD310" i="1"/>
  <c r="AB89" i="1"/>
  <c r="AC89" i="1" s="1"/>
  <c r="Z310" i="1"/>
  <c r="P223" i="1"/>
  <c r="P310" i="1" s="1"/>
  <c r="CA7" i="1" l="1"/>
  <c r="CA10" i="1"/>
  <c r="CA24" i="1"/>
  <c r="CA26" i="1" s="1"/>
  <c r="CA57" i="1"/>
  <c r="CA54" i="1"/>
  <c r="CA53" i="1"/>
  <c r="CA30" i="1"/>
  <c r="CA46" i="1"/>
  <c r="BU49" i="1"/>
  <c r="BQ85" i="1"/>
  <c r="BU83" i="1"/>
  <c r="BU10" i="1"/>
  <c r="BU7" i="1"/>
  <c r="BU59" i="1"/>
  <c r="BU24" i="1"/>
  <c r="BU26" i="1" s="1"/>
  <c r="BQ62" i="1"/>
  <c r="BU72" i="1"/>
  <c r="CA72" i="1" s="1"/>
  <c r="BU33" i="1"/>
  <c r="BU71" i="1"/>
  <c r="BQ6" i="1"/>
  <c r="BQ7" i="1" s="1"/>
  <c r="BQ33" i="1"/>
  <c r="BU36" i="1"/>
  <c r="BQ56" i="1"/>
  <c r="BR89" i="1"/>
  <c r="BL7" i="1"/>
  <c r="BN6" i="1"/>
  <c r="BN7" i="1" s="1"/>
  <c r="BN89" i="1" s="1"/>
  <c r="BN158" i="1"/>
  <c r="BN157" i="1"/>
  <c r="AY89" i="1"/>
  <c r="AY310" i="1" s="1"/>
  <c r="BD145" i="1"/>
  <c r="BA145" i="1"/>
  <c r="BA146" i="1" s="1"/>
  <c r="BD7" i="1"/>
  <c r="BD89" i="1" s="1"/>
  <c r="BA5" i="1"/>
  <c r="BA7" i="1" s="1"/>
  <c r="BA89" i="1" s="1"/>
  <c r="AB310" i="1"/>
  <c r="AC310" i="1" s="1"/>
  <c r="Q223" i="1"/>
  <c r="Q310" i="1" s="1"/>
  <c r="R223" i="1"/>
  <c r="CA56" i="1" l="1"/>
  <c r="CA75" i="1"/>
  <c r="CA49" i="1"/>
  <c r="CA83" i="1"/>
  <c r="CA33" i="1"/>
  <c r="CA59" i="1"/>
  <c r="BU85" i="1"/>
  <c r="BU75" i="1"/>
  <c r="BQ89" i="1"/>
  <c r="BU56" i="1"/>
  <c r="BT89" i="1"/>
  <c r="BL89" i="1"/>
  <c r="BN159" i="1"/>
  <c r="BN160" i="1" s="1"/>
  <c r="BD146" i="1"/>
  <c r="R310" i="1"/>
  <c r="S223" i="1"/>
  <c r="CA85" i="1" l="1"/>
  <c r="CA89" i="1" s="1"/>
  <c r="CA310" i="1" s="1"/>
  <c r="BU89" i="1"/>
  <c r="BU310" i="1" s="1"/>
  <c r="BV89" i="1"/>
  <c r="BQ310" i="1"/>
  <c r="BL310" i="1"/>
  <c r="BA147" i="1"/>
  <c r="BD147" i="1"/>
  <c r="S310" i="1"/>
  <c r="BN161" i="1" l="1"/>
  <c r="BD148" i="1"/>
  <c r="BA148" i="1"/>
  <c r="BN162" i="1" l="1"/>
  <c r="BA150" i="1"/>
  <c r="BD150" i="1"/>
  <c r="BD149" i="1"/>
  <c r="BA149" i="1"/>
  <c r="BN163" i="1" l="1"/>
  <c r="BN164" i="1" s="1"/>
  <c r="BD152" i="1"/>
  <c r="BA152" i="1"/>
  <c r="BD151" i="1"/>
  <c r="BA151" i="1"/>
  <c r="BN165" i="1" l="1"/>
  <c r="BD153" i="1"/>
  <c r="BA153" i="1"/>
  <c r="BN167" i="1" l="1"/>
  <c r="BN166" i="1"/>
  <c r="BD155" i="1"/>
  <c r="BA155" i="1"/>
  <c r="BD154" i="1"/>
  <c r="BA154" i="1"/>
  <c r="BN168" i="1" l="1"/>
  <c r="BA156" i="1"/>
  <c r="BD157" i="1"/>
  <c r="BA157" i="1"/>
  <c r="BD156" i="1"/>
  <c r="BN169" i="1" l="1"/>
  <c r="BD159" i="1"/>
  <c r="BA159" i="1"/>
  <c r="BD158" i="1"/>
  <c r="BA158" i="1"/>
  <c r="BN170" i="1" l="1"/>
  <c r="BN171" i="1"/>
  <c r="BA160" i="1"/>
  <c r="BD160" i="1"/>
  <c r="BN173" i="1" l="1"/>
  <c r="BN172" i="1"/>
  <c r="BA161" i="1"/>
  <c r="BD161" i="1"/>
  <c r="BN174" i="1" l="1"/>
  <c r="BD162" i="1"/>
  <c r="BA162" i="1"/>
  <c r="BN175" i="1" l="1"/>
  <c r="BD163" i="1"/>
  <c r="BA163" i="1"/>
  <c r="BA164" i="1" s="1"/>
  <c r="BN176" i="1" l="1"/>
  <c r="BN177" i="1"/>
  <c r="BD164" i="1"/>
  <c r="BD165" i="1"/>
  <c r="BA165" i="1"/>
  <c r="BN178" i="1" l="1"/>
  <c r="BN179" i="1" s="1"/>
  <c r="BD166" i="1"/>
  <c r="BA166" i="1"/>
  <c r="BN180" i="1" l="1"/>
  <c r="BA167" i="1"/>
  <c r="BA168" i="1" s="1"/>
  <c r="BD167" i="1"/>
  <c r="BN182" i="1" l="1"/>
  <c r="BN181" i="1"/>
  <c r="BD168" i="1"/>
  <c r="BD169" i="1"/>
  <c r="BA169" i="1"/>
  <c r="BD170" i="1"/>
  <c r="BE2" i="1"/>
  <c r="BA170" i="1"/>
  <c r="BN183" i="1" l="1"/>
  <c r="BN184" i="1" s="1"/>
  <c r="BN185" i="1" s="1"/>
  <c r="BD171" i="1"/>
  <c r="BA171" i="1"/>
  <c r="BA173" i="1" l="1"/>
  <c r="BD173" i="1"/>
  <c r="BD172" i="1"/>
  <c r="BA172" i="1"/>
  <c r="BN186" i="1" l="1"/>
  <c r="BN187" i="1" s="1"/>
  <c r="BA174" i="1"/>
  <c r="BA175" i="1"/>
  <c r="BD175" i="1"/>
  <c r="BD174" i="1"/>
  <c r="BN188" i="1" l="1"/>
  <c r="BD177" i="1"/>
  <c r="BA177" i="1"/>
  <c r="BA176" i="1"/>
  <c r="BD176" i="1"/>
  <c r="BN189" i="1" l="1"/>
  <c r="BD178" i="1"/>
  <c r="BA178" i="1"/>
  <c r="BA179" i="1" s="1"/>
  <c r="BN190" i="1" l="1"/>
  <c r="BN191" i="1" s="1"/>
  <c r="BD179" i="1"/>
  <c r="BD180" i="1"/>
  <c r="BA180" i="1"/>
  <c r="BN193" i="1" l="1"/>
  <c r="BN192" i="1"/>
  <c r="BD181" i="1"/>
  <c r="BA181" i="1"/>
  <c r="BD182" i="1"/>
  <c r="BA182" i="1"/>
  <c r="BN194" i="1" l="1"/>
  <c r="BN195" i="1" s="1"/>
  <c r="BD183" i="1"/>
  <c r="BA183" i="1"/>
  <c r="BA184" i="1" s="1"/>
  <c r="BA185" i="1" s="1"/>
  <c r="BD184" i="1" l="1"/>
  <c r="BD185" i="1" s="1"/>
  <c r="BD186" i="1"/>
  <c r="BA186" i="1"/>
  <c r="BA187" i="1" s="1"/>
  <c r="BN196" i="1" l="1"/>
  <c r="BN197" i="1"/>
  <c r="BD187" i="1"/>
  <c r="BD188" i="1"/>
  <c r="BA188" i="1"/>
  <c r="BN199" i="1" l="1"/>
  <c r="BN198" i="1"/>
  <c r="BD189" i="1"/>
  <c r="BA189" i="1"/>
  <c r="BN200" i="1" l="1"/>
  <c r="BD190" i="1"/>
  <c r="BA190" i="1"/>
  <c r="BA191" i="1" s="1"/>
  <c r="BN201" i="1" l="1"/>
  <c r="BN202" i="1"/>
  <c r="BD191" i="1"/>
  <c r="BD193" i="1"/>
  <c r="BA193" i="1"/>
  <c r="BA192" i="1"/>
  <c r="BD192" i="1"/>
  <c r="BN204" i="1" l="1"/>
  <c r="BN203" i="1"/>
  <c r="BA194" i="1"/>
  <c r="BA195" i="1" s="1"/>
  <c r="BD194" i="1"/>
  <c r="BN205" i="1" l="1"/>
  <c r="BD195" i="1"/>
  <c r="BN207" i="1" l="1"/>
  <c r="BN206" i="1"/>
  <c r="BD196" i="1"/>
  <c r="BA196" i="1"/>
  <c r="BN208" i="1" l="1"/>
  <c r="BN209" i="1" s="1"/>
  <c r="BD197" i="1"/>
  <c r="BA197" i="1"/>
  <c r="BN210" i="1" l="1"/>
  <c r="BD199" i="1"/>
  <c r="BA199" i="1"/>
  <c r="BD198" i="1"/>
  <c r="BA198" i="1"/>
  <c r="BN211" i="1" l="1"/>
  <c r="BD201" i="1"/>
  <c r="BA201" i="1"/>
  <c r="BA200" i="1"/>
  <c r="BD200" i="1"/>
  <c r="BN212" i="1" l="1"/>
  <c r="BN213" i="1" s="1"/>
  <c r="BD203" i="1"/>
  <c r="BA203" i="1"/>
  <c r="BD202" i="1"/>
  <c r="BA202" i="1"/>
  <c r="BN215" i="1" l="1"/>
  <c r="BN214" i="1"/>
  <c r="BA204" i="1"/>
  <c r="BA205" i="1" s="1"/>
  <c r="BD204" i="1"/>
  <c r="BN216" i="1" l="1"/>
  <c r="BN217" i="1" s="1"/>
  <c r="BD205" i="1"/>
  <c r="BD207" i="1"/>
  <c r="BA207" i="1"/>
  <c r="BD206" i="1"/>
  <c r="BA206" i="1"/>
  <c r="BN218" i="1" l="1"/>
  <c r="BD208" i="1"/>
  <c r="BA208" i="1"/>
  <c r="BA209" i="1" s="1"/>
  <c r="BN220" i="1" l="1"/>
  <c r="BN219" i="1"/>
  <c r="BD209" i="1"/>
  <c r="BN221" i="1" l="1"/>
  <c r="BN222" i="1"/>
  <c r="BD210" i="1"/>
  <c r="BA210" i="1"/>
  <c r="BN223" i="1" l="1"/>
  <c r="BA212" i="1"/>
  <c r="BD212" i="1"/>
  <c r="BD211" i="1"/>
  <c r="BA211" i="1"/>
  <c r="BN224" i="1" l="1"/>
  <c r="BN225" i="1" s="1"/>
  <c r="BP224" i="1"/>
  <c r="BP225" i="1" s="1"/>
  <c r="BP310" i="1" s="1"/>
  <c r="BA213" i="1"/>
  <c r="BD213" i="1"/>
  <c r="BT224" i="1" l="1"/>
  <c r="BR224" i="1"/>
  <c r="BR225" i="1" s="1"/>
  <c r="BR310" i="1" s="1"/>
  <c r="BD215" i="1"/>
  <c r="BA215" i="1"/>
  <c r="BD214" i="1"/>
  <c r="BA214" i="1"/>
  <c r="BT225" i="1" l="1"/>
  <c r="BN226" i="1"/>
  <c r="BA216" i="1"/>
  <c r="BA217" i="1" s="1"/>
  <c r="BD216" i="1"/>
  <c r="BV225" i="1" l="1"/>
  <c r="BT310" i="1"/>
  <c r="BN227" i="1"/>
  <c r="BN228" i="1" s="1"/>
  <c r="BD218" i="1"/>
  <c r="BA218" i="1"/>
  <c r="BD217" i="1"/>
  <c r="BV310" i="1" l="1"/>
  <c r="BD219" i="1"/>
  <c r="BA219" i="1"/>
  <c r="BN229" i="1" l="1"/>
  <c r="BD222" i="1"/>
  <c r="BA222" i="1"/>
  <c r="BD220" i="1"/>
  <c r="BA220" i="1"/>
  <c r="BA221" i="1" s="1"/>
  <c r="BN230" i="1" l="1"/>
  <c r="BA223" i="1"/>
  <c r="BD221" i="1"/>
  <c r="BD223" i="1" s="1"/>
  <c r="BD224" i="1"/>
  <c r="BA224" i="1"/>
  <c r="BA225" i="1" s="1"/>
  <c r="BN231" i="1" l="1"/>
  <c r="BD226" i="1"/>
  <c r="BA226" i="1"/>
  <c r="BD225" i="1"/>
  <c r="BN232" i="1" l="1"/>
  <c r="BA227" i="1"/>
  <c r="BA228" i="1" s="1"/>
  <c r="BD227" i="1"/>
  <c r="BN233" i="1" l="1"/>
  <c r="BD229" i="1"/>
  <c r="BA229" i="1"/>
  <c r="BD230" i="1"/>
  <c r="BA230" i="1"/>
  <c r="BD228" i="1"/>
  <c r="BN234" i="1" l="1"/>
  <c r="BN235" i="1" s="1"/>
  <c r="BD231" i="1"/>
  <c r="BA231" i="1"/>
  <c r="BN236" i="1" l="1"/>
  <c r="BD233" i="1"/>
  <c r="BA233" i="1"/>
  <c r="BA232" i="1"/>
  <c r="BD232" i="1"/>
  <c r="BN237" i="1" l="1"/>
  <c r="BN238" i="1" s="1"/>
  <c r="BD234" i="1"/>
  <c r="BA234" i="1"/>
  <c r="BA235" i="1" s="1"/>
  <c r="BN239" i="1" l="1"/>
  <c r="BN240" i="1" s="1"/>
  <c r="BA236" i="1"/>
  <c r="BD236" i="1"/>
  <c r="BD235" i="1"/>
  <c r="BN242" i="1" l="1"/>
  <c r="BN241" i="1"/>
  <c r="BA237" i="1"/>
  <c r="BA238" i="1" s="1"/>
  <c r="BD237" i="1"/>
  <c r="BN244" i="1" l="1"/>
  <c r="BN243" i="1"/>
  <c r="BD238" i="1"/>
  <c r="BD239" i="1"/>
  <c r="BA239" i="1"/>
  <c r="BA240" i="1" s="1"/>
  <c r="BN246" i="1" l="1"/>
  <c r="BN245" i="1"/>
  <c r="BD240" i="1"/>
  <c r="BD241" i="1"/>
  <c r="BA241" i="1"/>
  <c r="BN247" i="1" l="1"/>
  <c r="BN248" i="1" s="1"/>
  <c r="BD243" i="1"/>
  <c r="BA243" i="1"/>
  <c r="BD242" i="1"/>
  <c r="BA242" i="1"/>
  <c r="BN249" i="1" l="1"/>
  <c r="BD244" i="1"/>
  <c r="BA244" i="1"/>
  <c r="BN250" i="1" l="1"/>
  <c r="BD246" i="1"/>
  <c r="BA246" i="1"/>
  <c r="BA245" i="1"/>
  <c r="BD245" i="1"/>
  <c r="BN252" i="1" l="1"/>
  <c r="BN251" i="1"/>
  <c r="BA247" i="1"/>
  <c r="BA248" i="1" s="1"/>
  <c r="BD247" i="1"/>
  <c r="BN253" i="1" l="1"/>
  <c r="BD250" i="1"/>
  <c r="BA250" i="1"/>
  <c r="BD249" i="1"/>
  <c r="BA249" i="1"/>
  <c r="BD248" i="1"/>
  <c r="BN254" i="1" l="1"/>
  <c r="BA252" i="1"/>
  <c r="BD252" i="1"/>
  <c r="BD251" i="1"/>
  <c r="BA251" i="1"/>
  <c r="BN255" i="1" l="1"/>
  <c r="BN256" i="1" s="1"/>
  <c r="BD253" i="1"/>
  <c r="BA253" i="1"/>
  <c r="BN257" i="1" l="1"/>
  <c r="BD254" i="1"/>
  <c r="BA254" i="1"/>
  <c r="BN259" i="1" l="1"/>
  <c r="BN258" i="1"/>
  <c r="BA255" i="1"/>
  <c r="BA256" i="1" s="1"/>
  <c r="BD255" i="1"/>
  <c r="BN260" i="1" l="1"/>
  <c r="BD256" i="1"/>
  <c r="BD257" i="1"/>
  <c r="BA257" i="1"/>
  <c r="BD258" i="1"/>
  <c r="BA258" i="1"/>
  <c r="BN261" i="1" l="1"/>
  <c r="BN262" i="1" s="1"/>
  <c r="BD259" i="1"/>
  <c r="BA259" i="1"/>
  <c r="BA260" i="1" s="1"/>
  <c r="BN263" i="1" l="1"/>
  <c r="BD260" i="1"/>
  <c r="BN264" i="1" l="1"/>
  <c r="BN265" i="1" s="1"/>
  <c r="BD261" i="1"/>
  <c r="BD262" i="1" s="1"/>
  <c r="BA261" i="1"/>
  <c r="BA262" i="1" s="1"/>
  <c r="BN267" i="1" l="1"/>
  <c r="BN266" i="1"/>
  <c r="BD264" i="1"/>
  <c r="BA264" i="1"/>
  <c r="BD263" i="1"/>
  <c r="BA263" i="1"/>
  <c r="BA265" i="1" l="1"/>
  <c r="BN268" i="1"/>
  <c r="BN269" i="1" s="1"/>
  <c r="BD265" i="1"/>
  <c r="BN270" i="1" l="1"/>
  <c r="BN271" i="1" s="1"/>
  <c r="BD267" i="1"/>
  <c r="BA267" i="1"/>
  <c r="BD266" i="1"/>
  <c r="BA266" i="1"/>
  <c r="BN273" i="1" l="1"/>
  <c r="BN272" i="1"/>
  <c r="BN286" i="1" s="1"/>
  <c r="BA268" i="1"/>
  <c r="BA269" i="1" s="1"/>
  <c r="BD268" i="1"/>
  <c r="BN275" i="1" l="1"/>
  <c r="BN274" i="1"/>
  <c r="BD269" i="1"/>
  <c r="BN276" i="1" l="1"/>
  <c r="BD270" i="1"/>
  <c r="BA270" i="1"/>
  <c r="BA271" i="1" s="1"/>
  <c r="BD272" i="1"/>
  <c r="BA272" i="1"/>
  <c r="BA286" i="1" s="1"/>
  <c r="BN278" i="1" l="1"/>
  <c r="BN277" i="1"/>
  <c r="BA275" i="1"/>
  <c r="BD275" i="1"/>
  <c r="BD274" i="1"/>
  <c r="BA274" i="1"/>
  <c r="BD271" i="1"/>
  <c r="BD286" i="1"/>
  <c r="BD273" i="1"/>
  <c r="BA273" i="1"/>
  <c r="BN280" i="1" l="1"/>
  <c r="BN279" i="1"/>
  <c r="BA277" i="1"/>
  <c r="BD277" i="1"/>
  <c r="BD276" i="1"/>
  <c r="BA276" i="1"/>
  <c r="BN281" i="1" l="1"/>
  <c r="BD278" i="1"/>
  <c r="BA278" i="1"/>
  <c r="BN282" i="1" l="1"/>
  <c r="BD279" i="1"/>
  <c r="BA279" i="1"/>
  <c r="BA280" i="1"/>
  <c r="BD280" i="1"/>
  <c r="BN283" i="1" l="1"/>
  <c r="BD281" i="1"/>
  <c r="BA281" i="1"/>
  <c r="BN285" i="1" l="1"/>
  <c r="BN284" i="1"/>
  <c r="BA282" i="1"/>
  <c r="BD282" i="1"/>
  <c r="BD283" i="1" l="1"/>
  <c r="BA283" i="1"/>
  <c r="BN287" i="1" l="1"/>
  <c r="BN288" i="1" s="1"/>
  <c r="BD284" i="1"/>
  <c r="BA284" i="1"/>
  <c r="BN289" i="1" l="1"/>
  <c r="BN290" i="1" s="1"/>
  <c r="BD285" i="1"/>
  <c r="BA285" i="1"/>
  <c r="BN291" i="1" l="1"/>
  <c r="BD287" i="1"/>
  <c r="BA287" i="1"/>
  <c r="BA288" i="1" s="1"/>
  <c r="BN292" i="1" l="1"/>
  <c r="BD288" i="1"/>
  <c r="BD289" i="1"/>
  <c r="BD290" i="1" s="1"/>
  <c r="BA289" i="1"/>
  <c r="BA290" i="1" s="1"/>
  <c r="BN293" i="1" l="1"/>
  <c r="BD291" i="1"/>
  <c r="BA291" i="1"/>
  <c r="BN294" i="1" l="1"/>
  <c r="BD293" i="1"/>
  <c r="BA293" i="1"/>
  <c r="BA292" i="1"/>
  <c r="BD292" i="1"/>
  <c r="BN295" i="1" l="1"/>
  <c r="BA295" i="1"/>
  <c r="BD295" i="1"/>
  <c r="BD294" i="1"/>
  <c r="BA294" i="1"/>
  <c r="BN296" i="1" l="1"/>
  <c r="BD297" i="1"/>
  <c r="BA297" i="1"/>
  <c r="BD296" i="1"/>
  <c r="BA296" i="1"/>
  <c r="BN297" i="1" l="1"/>
  <c r="BA299" i="1"/>
  <c r="BD299" i="1"/>
  <c r="BD298" i="1"/>
  <c r="BA298" i="1"/>
  <c r="BN298" i="1" l="1"/>
  <c r="BD301" i="1"/>
  <c r="BA301" i="1"/>
  <c r="BA300" i="1"/>
  <c r="BD300" i="1"/>
  <c r="BN299" i="1" l="1"/>
  <c r="BD302" i="1"/>
  <c r="BA302" i="1"/>
  <c r="BN300" i="1" l="1"/>
  <c r="BD303" i="1"/>
  <c r="BA303" i="1"/>
  <c r="BN301" i="1" l="1"/>
  <c r="BD305" i="1"/>
  <c r="BA305" i="1"/>
  <c r="BD304" i="1"/>
  <c r="BA304" i="1"/>
  <c r="BN302" i="1" l="1"/>
  <c r="BD307" i="1"/>
  <c r="BA307" i="1"/>
  <c r="BD306" i="1"/>
  <c r="BA306" i="1"/>
  <c r="BN304" i="1" l="1"/>
  <c r="BN303" i="1"/>
  <c r="BD308" i="1"/>
  <c r="BA308" i="1"/>
  <c r="BA309" i="1"/>
  <c r="BD309" i="1"/>
  <c r="BN306" i="1" l="1"/>
  <c r="BN305" i="1"/>
  <c r="BA310" i="1"/>
  <c r="BD310" i="1"/>
  <c r="BN307" i="1" l="1"/>
  <c r="BN308" i="1" s="1"/>
  <c r="BN309" i="1" l="1"/>
  <c r="BN3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Z29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<sst xmlns="http://schemas.openxmlformats.org/spreadsheetml/2006/main" count="780" uniqueCount="592">
  <si>
    <t>NEH</t>
  </si>
  <si>
    <t>Grand Total</t>
  </si>
  <si>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</si>
  <si>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</si>
  <si>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</si>
  <si>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</si>
  <si>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</si>
  <si>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</si>
  <si>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</si>
  <si>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</si>
  <si>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</si>
  <si>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</si>
  <si>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</si>
  <si>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</si>
  <si>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</si>
  <si>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</si>
  <si>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</si>
  <si>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</si>
  <si>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</si>
  <si>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</si>
  <si>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</si>
  <si>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</si>
  <si>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</si>
  <si>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</si>
  <si>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</si>
  <si>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</si>
  <si>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</si>
  <si>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</si>
  <si>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</si>
  <si>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</si>
  <si>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</si>
  <si>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</si>
  <si>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</si>
  <si>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</si>
  <si>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</si>
  <si>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</si>
  <si>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</si>
  <si>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</si>
  <si>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</si>
  <si>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</si>
  <si>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</si>
  <si>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</si>
  <si>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</si>
  <si>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</si>
  <si>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</si>
  <si>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</si>
  <si>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</si>
  <si>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</si>
  <si>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</si>
  <si>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</si>
  <si>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</si>
  <si>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</si>
  <si>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</si>
  <si>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</si>
  <si>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</si>
  <si>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</si>
  <si>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</si>
  <si>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</si>
  <si>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</si>
  <si>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</si>
  <si>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</si>
  <si>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</si>
  <si>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</si>
  <si>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</si>
  <si>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</si>
  <si>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</si>
  <si>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</si>
  <si>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</si>
  <si>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</si>
  <si>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</si>
  <si>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</si>
  <si>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</si>
  <si>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</si>
  <si>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</si>
  <si>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</si>
  <si>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</si>
  <si>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</si>
  <si>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</si>
  <si>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</si>
  <si>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</si>
  <si>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</si>
  <si>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</si>
  <si>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</si>
  <si>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</si>
  <si>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</si>
  <si>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</si>
  <si>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</si>
  <si>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</si>
  <si>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</si>
  <si>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</si>
  <si>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</si>
  <si>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</si>
  <si>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</si>
  <si>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</si>
  <si>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</si>
  <si>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</si>
  <si>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</si>
  <si>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</si>
  <si>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</si>
  <si>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</si>
  <si>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</si>
  <si>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</si>
  <si>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</si>
  <si>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</si>
  <si>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</si>
  <si>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</si>
  <si>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</si>
  <si>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</si>
  <si>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</si>
  <si>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</si>
  <si>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</si>
  <si>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</si>
  <si>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</si>
  <si>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</si>
  <si>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</si>
  <si>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</si>
  <si>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</si>
  <si>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</si>
  <si>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</si>
  <si>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</si>
  <si>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</si>
  <si>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</si>
  <si>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</si>
  <si>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</si>
  <si>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</si>
  <si>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</si>
  <si>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</si>
  <si>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</si>
  <si>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</si>
  <si>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</si>
  <si>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</si>
  <si>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</si>
  <si>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</si>
  <si>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</si>
  <si>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</si>
  <si>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</si>
  <si>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</si>
  <si>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</si>
  <si>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</si>
  <si>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</si>
  <si>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</si>
  <si>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</si>
  <si>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</si>
  <si>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</si>
  <si>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</si>
  <si>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</si>
  <si>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</si>
  <si>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</si>
  <si>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</si>
  <si>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</si>
  <si>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</si>
  <si>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</si>
  <si>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</si>
  <si>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</si>
  <si>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</si>
  <si>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</si>
  <si>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</si>
  <si>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</si>
  <si>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</si>
  <si>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</si>
  <si>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</si>
  <si>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</si>
  <si>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</si>
  <si>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</si>
  <si>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</si>
  <si>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</si>
  <si>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</si>
  <si>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</si>
  <si>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</si>
  <si>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</si>
  <si>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</si>
  <si>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</si>
  <si>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</si>
  <si>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</si>
  <si>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</si>
  <si>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</si>
  <si>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</si>
  <si>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</si>
  <si>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</si>
  <si>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</si>
  <si>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</si>
  <si>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</si>
  <si>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</si>
  <si>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</si>
  <si>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</si>
  <si>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</si>
  <si>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</si>
  <si>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</si>
  <si>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</si>
  <si>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</si>
  <si>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</si>
  <si>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</si>
  <si>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</si>
  <si>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</si>
  <si>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</si>
  <si>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</si>
  <si>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</si>
  <si>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</si>
  <si>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</si>
  <si>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</si>
  <si>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</si>
  <si>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</si>
  <si>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</si>
  <si>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</si>
  <si>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</si>
  <si>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</si>
  <si>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</si>
  <si>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</si>
  <si>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</si>
  <si>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</si>
  <si>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</si>
  <si>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</si>
  <si>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</si>
  <si>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</si>
  <si>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</si>
  <si>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</si>
  <si>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</si>
  <si>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</si>
  <si>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</si>
  <si>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</si>
  <si>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</si>
  <si>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</si>
  <si>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</si>
  <si>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</si>
  <si>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</si>
  <si>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</si>
  <si>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</si>
  <si>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</si>
  <si>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</si>
  <si>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</si>
  <si>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</si>
  <si>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</si>
  <si>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</si>
  <si>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</si>
  <si>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</si>
  <si>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</si>
  <si>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</si>
  <si>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</si>
  <si>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</si>
  <si>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</si>
  <si>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</si>
  <si>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</si>
  <si>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</si>
  <si>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</si>
  <si>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</si>
  <si>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</si>
  <si>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</si>
  <si>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</si>
  <si>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</si>
  <si>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</si>
  <si>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</si>
  <si>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</si>
  <si>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</si>
  <si>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</si>
  <si>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</si>
  <si>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</si>
  <si>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</si>
  <si>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</si>
  <si>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</si>
  <si>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</si>
  <si>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</si>
  <si>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</si>
  <si>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</si>
  <si>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</si>
  <si>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</si>
  <si>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</si>
  <si>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</si>
  <si>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</si>
  <si>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</si>
  <si>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</si>
  <si>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</si>
  <si>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</si>
  <si>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</si>
  <si>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</si>
  <si>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</si>
  <si>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</si>
  <si>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</si>
  <si>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</si>
  <si>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</si>
  <si>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</si>
  <si>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</si>
  <si>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</si>
  <si>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</si>
  <si>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</si>
  <si>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</si>
  <si>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</si>
  <si>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</si>
  <si>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</si>
  <si>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</si>
  <si>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</si>
  <si>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</si>
  <si>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</si>
  <si>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</si>
  <si>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</si>
  <si>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</si>
  <si>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</si>
  <si>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</si>
  <si>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</si>
  <si>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</si>
  <si>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</si>
  <si>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</si>
  <si>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</si>
  <si>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</si>
  <si>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</si>
  <si>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</si>
  <si>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</si>
  <si>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</si>
  <si>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</si>
  <si>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</si>
  <si>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</si>
  <si>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</si>
  <si>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</si>
  <si>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</si>
  <si>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</si>
  <si>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</si>
  <si>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</si>
  <si>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</si>
  <si>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</si>
  <si>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</si>
  <si>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</si>
  <si>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</si>
  <si>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</si>
  <si>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</si>
  <si>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</si>
  <si>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</si>
  <si>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</si>
  <si>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</si>
  <si>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</si>
  <si>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</si>
  <si>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</si>
  <si>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</si>
  <si>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</si>
  <si>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</si>
  <si>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</si>
  <si>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</si>
  <si>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</si>
  <si>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</si>
  <si>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</si>
  <si>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</si>
  <si>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</si>
  <si>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</si>
  <si>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</si>
  <si>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</si>
  <si>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</si>
  <si>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</si>
  <si>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</si>
  <si>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</si>
  <si>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</si>
  <si>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</si>
  <si>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</si>
  <si>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</si>
  <si>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</si>
  <si>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</si>
  <si>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</si>
  <si>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</si>
  <si>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</si>
  <si>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</si>
  <si>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</si>
  <si>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</si>
  <si>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</si>
  <si>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</si>
  <si>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</si>
  <si>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</si>
  <si>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</si>
  <si>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</si>
  <si>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</si>
  <si>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</si>
  <si>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</si>
  <si>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</si>
  <si>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</si>
  <si>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</si>
  <si>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</si>
  <si>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</si>
  <si>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</si>
  <si>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</si>
  <si>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</si>
  <si>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</si>
  <si>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</si>
  <si>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</si>
  <si>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</si>
  <si>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</si>
  <si>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</si>
  <si>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</si>
  <si>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</si>
  <si>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</si>
  <si>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</si>
  <si>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</si>
  <si>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</si>
  <si>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</si>
  <si>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</si>
  <si>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</si>
  <si>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</si>
  <si>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</si>
  <si>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</si>
  <si>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</si>
  <si>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</si>
  <si>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</si>
  <si>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</si>
  <si>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</si>
  <si>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</si>
  <si>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</si>
  <si>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</si>
  <si>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</si>
  <si>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</si>
  <si>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</si>
  <si>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</si>
  <si>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</si>
  <si>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</si>
  <si>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</si>
  <si>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</si>
  <si>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</si>
  <si>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</si>
  <si>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</si>
  <si>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</si>
  <si>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</si>
  <si>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</si>
  <si>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</si>
  <si>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</si>
  <si>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</si>
  <si>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</si>
  <si>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</si>
  <si>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</si>
  <si>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</si>
  <si>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</si>
  <si>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</si>
  <si>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</si>
  <si>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</si>
  <si>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</si>
  <si>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</si>
  <si>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</si>
  <si>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</si>
  <si>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</si>
  <si>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</si>
  <si>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</si>
  <si>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</si>
  <si>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</si>
  <si>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</si>
  <si>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</si>
  <si>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</si>
  <si>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</si>
  <si>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</si>
  <si>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</si>
  <si>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</si>
  <si>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</si>
  <si>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</si>
  <si>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</si>
  <si>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</si>
  <si>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</si>
  <si>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</si>
  <si>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</si>
  <si>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</si>
  <si>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</si>
  <si>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</si>
  <si>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</si>
  <si>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</si>
  <si>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</si>
  <si>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</si>
  <si>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</si>
  <si>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</si>
  <si>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</si>
  <si>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</si>
  <si>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</si>
  <si>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</si>
  <si>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</si>
  <si>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</si>
  <si>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</si>
  <si>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</si>
  <si>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</si>
  <si>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</si>
  <si>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</si>
  <si>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</si>
  <si>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</si>
  <si>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</si>
  <si>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</si>
  <si>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</si>
  <si>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</si>
  <si>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</si>
  <si>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</si>
  <si>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</si>
  <si>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</si>
  <si>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</si>
  <si>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</si>
  <si>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</si>
  <si>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</si>
  <si>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</si>
  <si>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</si>
  <si>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</si>
  <si>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</si>
  <si>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</si>
  <si>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</si>
  <si>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</si>
  <si>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</si>
  <si>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</si>
  <si>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</si>
  <si>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</si>
  <si>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</si>
  <si>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</si>
  <si>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</si>
  <si>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</si>
  <si>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</si>
  <si>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</si>
  <si>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</si>
  <si>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</si>
  <si>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</si>
  <si>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</si>
  <si>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</si>
  <si>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</si>
  <si>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</si>
  <si>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</si>
  <si>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</si>
  <si>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</si>
  <si>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</si>
  <si>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</si>
  <si>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</si>
  <si>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</si>
  <si>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</si>
  <si>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</si>
  <si>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</si>
  <si>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</si>
  <si>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</si>
  <si>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</si>
  <si>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</si>
  <si>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</si>
  <si>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</si>
  <si>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</si>
  <si>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</si>
  <si>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</si>
  <si>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</si>
  <si>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</si>
  <si>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</si>
  <si>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</si>
  <si>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</si>
  <si>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</si>
  <si>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</si>
  <si>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</si>
  <si>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</si>
  <si>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</si>
  <si>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</si>
  <si>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</si>
  <si>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</si>
  <si>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</si>
  <si>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</si>
  <si>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</si>
  <si>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</si>
  <si>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</si>
  <si>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</si>
  <si>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</si>
  <si>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</si>
  <si>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</si>
  <si>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</si>
  <si>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</si>
  <si>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RE 2021-22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</si>
  <si>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</si>
  <si>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</si>
  <si>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</si>
  <si>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</si>
  <si>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</si>
  <si>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</si>
  <si>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</si>
  <si>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</si>
  <si>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</si>
  <si>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</si>
  <si>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</si>
  <si>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</si>
  <si>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</si>
  <si>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</si>
  <si>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</si>
  <si>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</si>
  <si>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</si>
  <si>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</si>
  <si>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</si>
  <si>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</si>
  <si>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</si>
  <si>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</si>
  <si>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</si>
  <si>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</si>
  <si>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</si>
  <si>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</si>
  <si>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</si>
  <si>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</si>
  <si>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</si>
  <si>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</si>
  <si>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</si>
  <si>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</si>
  <si>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</si>
  <si>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</si>
  <si>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</si>
  <si>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</si>
  <si>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</si>
  <si>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</si>
  <si>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</si>
  <si>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pearl millet  vpm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</si>
</sst>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;[Red]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3" fillId="7" borderId="5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2" fontId="0" fillId="7" borderId="1" xfId="0" applyNumberFormat="1" applyFont="1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5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0" fontId="4" fillId="8" borderId="5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5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0" fontId="3" fillId="8" borderId="5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7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0" fillId="7" borderId="5" xfId="0" applyNumberFormat="1" applyFont="1" applyFill="1" applyBorder="1" applyAlignment="1">
      <alignment vertical="top"/>
    </xf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2" fontId="13" fillId="3" borderId="1" xfId="0" applyNumberFormat="1" applyFont="1" applyFill="1" applyBorder="1"/>
    <xf numFmtId="2" fontId="0" fillId="0" borderId="1" xfId="0" applyNumberFormat="1" applyFont="1" applyBorder="1"/>
    <xf numFmtId="165" fontId="16" fillId="0" borderId="0" xfId="0" applyNumberFormat="1" applyFont="1" applyAlignment="1"/>
    <xf numFmtId="2" fontId="12" fillId="13" borderId="1" xfId="0" applyNumberFormat="1" applyFont="1" applyFill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337"/>
  <sheetViews>
    <sheetView tabSelected="1" view="pageBreakPreview" zoomScale="80" zoomScaleNormal="80" zoomScaleSheetLayoutView="80" workbookViewId="0">
      <pane xSplit="4" ySplit="4" topLeftCell="E44" activePane="bottomRight" state="frozen"/>
      <selection pane="topRight" activeCell="E1" sqref="E1"/>
      <selection pane="bottomLeft" activeCell="A5" sqref="A5"/>
      <selection pane="bottomRight" activeCell="D60" sqref="D60"/>
    </sheetView>
  </sheetViews>
  <sheetFormatPr defaultRowHeight="14.4" x14ac:dyDescent="0.3"/>
  <cols>
    <col min="1" max="1" width="9.33203125" style="75" bestFit="1" customWidth="1"/>
    <col min="2" max="2" width="15.88671875" style="75" hidden="1" customWidth="1"/>
    <col min="3" max="3" width="21.5546875" style="76" hidden="1" customWidth="1"/>
    <col min="4" max="4" width="49.6640625" style="77" customWidth="1"/>
    <col min="5" max="5" width="17.44140625" style="78" hidden="1" customWidth="1"/>
    <col min="6" max="6" width="13.6640625" style="79" hidden="1" customWidth="1"/>
    <col min="7" max="8" width="14.44140625" style="79" hidden="1" customWidth="1"/>
    <col min="9" max="9" width="20.109375" style="79" hidden="1" customWidth="1"/>
    <col min="10" max="10" width="15.5546875" style="80" hidden="1" customWidth="1"/>
    <col min="11" max="11" width="12.44140625" hidden="1" customWidth="1"/>
    <col min="12" max="12" width="9.109375" hidden="1" customWidth="1"/>
    <col min="13" max="13" width="14" hidden="1" customWidth="1"/>
    <col min="14" max="14" width="12.109375" hidden="1" customWidth="1"/>
    <col min="15" max="16" width="9.109375" hidden="1" customWidth="1"/>
    <col min="17" max="17" width="11" hidden="1" customWidth="1"/>
    <col min="18" max="19" width="13.44140625" hidden="1" customWidth="1"/>
    <col min="20" max="20" width="14.33203125" hidden="1" customWidth="1"/>
    <col min="21" max="21" width="14.88671875" hidden="1" customWidth="1"/>
    <col min="22" max="22" width="15.33203125" hidden="1" customWidth="1"/>
    <col min="23" max="23" width="14.44140625" hidden="1" customWidth="1"/>
    <col min="24" max="24" width="17" hidden="1" customWidth="1"/>
    <col min="25" max="29" width="14.44140625" hidden="1" customWidth="1"/>
    <col min="30" max="30" width="15.44140625" hidden="1" customWidth="1"/>
    <col min="31" max="32" width="13.88671875" hidden="1" customWidth="1"/>
    <col min="33" max="33" width="13" style="106" hidden="1" customWidth="1"/>
    <col min="34" max="34" width="12.6640625" style="106" hidden="1" customWidth="1"/>
    <col min="35" max="35" width="13.109375" style="106" hidden="1" customWidth="1"/>
    <col min="36" max="36" width="18.6640625" style="110" hidden="1" customWidth="1"/>
    <col min="37" max="37" width="12.88671875" style="110" hidden="1" customWidth="1"/>
    <col min="38" max="38" width="10.6640625" style="110" hidden="1" customWidth="1"/>
    <col min="39" max="39" width="12.5546875" style="110" hidden="1" customWidth="1"/>
    <col min="40" max="42" width="19.5546875" style="110" hidden="1" customWidth="1"/>
    <col min="43" max="43" width="14" style="110" hidden="1" customWidth="1"/>
    <col min="44" max="53" width="14.33203125" style="110" hidden="1" customWidth="1"/>
    <col min="54" max="58" width="14.33203125" style="142" hidden="1" customWidth="1"/>
    <col min="59" max="59" width="17.109375" style="142" hidden="1" customWidth="1"/>
    <col min="60" max="66" width="14.33203125" style="110" hidden="1" customWidth="1"/>
    <col min="67" max="67" width="15.5546875" style="110" hidden="1" customWidth="1"/>
    <col min="68" max="69" width="14.33203125" style="110" hidden="1" customWidth="1"/>
    <col min="70" max="70" width="17.109375" style="110" hidden="1" customWidth="1"/>
    <col min="71" max="72" width="14.33203125" style="110" hidden="1" customWidth="1"/>
    <col min="73" max="73" width="16.5546875" style="110" hidden="1" customWidth="1"/>
    <col min="74" max="78" width="14.33203125" style="110" hidden="1" customWidth="1"/>
    <col min="79" max="79" width="15.5546875" style="110" customWidth="1"/>
    <col min="80" max="80" width="14.33203125" style="110" customWidth="1"/>
    <col min="83" max="83" width="11.21875" customWidth="1"/>
  </cols>
  <sheetData>
    <row r="1" spans="1:80" x14ac:dyDescent="0.3">
      <c r="A1" s="1"/>
      <c r="B1" s="2"/>
      <c r="C1" s="2"/>
      <c r="D1" s="3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A1" t="s">
        <v>591</v>
      </c>
    </row>
    <row r="2" spans="1:80" ht="18.75" customHeight="1" x14ac:dyDescent="0.3">
      <c r="A2" s="5"/>
      <c r="B2" s="5"/>
      <c r="C2" s="6"/>
      <c r="D2" s="7"/>
      <c r="E2" s="8"/>
      <c r="F2" s="174" t="s">
        <v>520</v>
      </c>
      <c r="G2" s="175"/>
      <c r="H2" s="109" t="s">
        <v>534</v>
      </c>
      <c r="I2" s="83"/>
      <c r="J2" s="176" t="s">
        <v>531</v>
      </c>
      <c r="K2" s="176"/>
      <c r="L2" s="176"/>
      <c r="M2" s="176"/>
      <c r="N2" s="176"/>
      <c r="O2" s="176"/>
      <c r="P2" s="176"/>
      <c r="Q2" s="176"/>
      <c r="R2" s="176"/>
      <c r="S2" s="176"/>
      <c r="AG2" s="106">
        <f>+AG47+AI47+AM47+AU47+BH47+BU47-25.78</f>
        <v>863.22</v>
      </c>
      <c r="AV2" s="110">
        <f>AY47+BH47+BU47</f>
        <v>889</v>
      </c>
      <c r="BE2" s="142" t="e">
        <f>#REF!-AY170</f>
        <v>#REF!</v>
      </c>
      <c r="BI2" s="110">
        <f>280+BI14</f>
        <v>545.32999999999993</v>
      </c>
      <c r="BJ2" s="110">
        <f>+BJ299+2584</f>
        <v>4988.34</v>
      </c>
      <c r="BK2" s="110">
        <f>550-BI14</f>
        <v>284.67</v>
      </c>
      <c r="BM2" s="110">
        <f>21.47-30.12</f>
        <v>-8.6500000000000021</v>
      </c>
      <c r="BU2" s="110">
        <f>+CA166-1201.7</f>
        <v>0</v>
      </c>
      <c r="CB2" s="110" t="s">
        <v>589</v>
      </c>
    </row>
    <row r="3" spans="1:80" ht="37.5" customHeight="1" x14ac:dyDescent="0.3">
      <c r="A3" s="5"/>
      <c r="B3" s="5"/>
      <c r="C3" s="6"/>
      <c r="D3" s="7"/>
      <c r="E3" s="8"/>
      <c r="F3" s="84"/>
      <c r="G3" s="85"/>
      <c r="H3" s="109"/>
      <c r="I3" s="83"/>
      <c r="J3" s="176" t="s">
        <v>521</v>
      </c>
      <c r="K3" s="176"/>
      <c r="L3" s="176"/>
      <c r="M3" s="176"/>
      <c r="N3" s="176" t="s">
        <v>0</v>
      </c>
      <c r="O3" s="176"/>
      <c r="P3" s="176"/>
      <c r="Q3" s="176"/>
      <c r="R3" s="174" t="s">
        <v>1</v>
      </c>
      <c r="S3" s="175"/>
      <c r="V3" s="174" t="s">
        <v>537</v>
      </c>
      <c r="W3" s="175"/>
      <c r="X3" s="174" t="s">
        <v>535</v>
      </c>
      <c r="Y3" s="175"/>
      <c r="Z3" s="174" t="s">
        <v>544</v>
      </c>
      <c r="AA3" s="177"/>
      <c r="AB3" s="177"/>
      <c r="AC3" s="117"/>
      <c r="AD3" s="174" t="s">
        <v>545</v>
      </c>
      <c r="AE3" s="175"/>
      <c r="AG3" s="182" t="s">
        <v>539</v>
      </c>
      <c r="AH3" s="182"/>
      <c r="AI3" s="183" t="s">
        <v>538</v>
      </c>
      <c r="AJ3" s="178"/>
      <c r="AK3" s="178" t="s">
        <v>546</v>
      </c>
      <c r="AL3" s="179"/>
      <c r="AM3" s="138" t="s">
        <v>548</v>
      </c>
      <c r="AN3" s="139"/>
      <c r="AO3" s="139" t="s">
        <v>549</v>
      </c>
      <c r="AP3" s="139"/>
      <c r="AQ3" s="178" t="s">
        <v>547</v>
      </c>
      <c r="AR3" s="179"/>
      <c r="AS3" s="182" t="s">
        <v>552</v>
      </c>
      <c r="AT3" s="182"/>
      <c r="AU3" s="182" t="s">
        <v>553</v>
      </c>
      <c r="AV3" s="182"/>
      <c r="AW3" s="180" t="s">
        <v>565</v>
      </c>
      <c r="AX3" s="181"/>
      <c r="AY3" s="178" t="s">
        <v>568</v>
      </c>
      <c r="AZ3" s="184"/>
      <c r="BA3" s="179"/>
      <c r="BB3" s="147"/>
      <c r="BC3" s="147"/>
      <c r="BD3" s="147"/>
      <c r="BE3" s="147"/>
      <c r="BF3" s="147"/>
      <c r="BG3" s="147"/>
      <c r="BH3" s="182" t="s">
        <v>576</v>
      </c>
      <c r="BI3" s="182"/>
      <c r="BJ3" s="160" t="s">
        <v>577</v>
      </c>
      <c r="BK3" s="160"/>
      <c r="BL3" s="178" t="s">
        <v>578</v>
      </c>
      <c r="BM3" s="184"/>
      <c r="BN3" s="179"/>
      <c r="BO3" s="161"/>
      <c r="BP3" s="161"/>
      <c r="BQ3" s="161"/>
      <c r="BR3" s="161"/>
      <c r="BS3" s="163"/>
      <c r="BT3" s="163"/>
      <c r="BU3" s="178" t="s">
        <v>586</v>
      </c>
      <c r="BV3" s="179"/>
      <c r="BW3" s="178" t="s">
        <v>585</v>
      </c>
      <c r="BX3" s="179"/>
      <c r="BY3" s="173" t="s">
        <v>590</v>
      </c>
      <c r="BZ3" s="172"/>
      <c r="CA3" s="178" t="s">
        <v>551</v>
      </c>
      <c r="CB3" s="179"/>
    </row>
    <row r="4" spans="1:80" ht="57.6" x14ac:dyDescent="0.3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81" t="s">
        <v>519</v>
      </c>
      <c r="G4" s="81" t="s">
        <v>2</v>
      </c>
      <c r="H4" s="81" t="s">
        <v>519</v>
      </c>
      <c r="I4" s="81" t="s">
        <v>2</v>
      </c>
      <c r="J4" s="12" t="s">
        <v>522</v>
      </c>
      <c r="K4" s="12" t="s">
        <v>523</v>
      </c>
      <c r="L4" s="12" t="s">
        <v>524</v>
      </c>
      <c r="M4" s="12" t="s">
        <v>525</v>
      </c>
      <c r="N4" s="12" t="s">
        <v>526</v>
      </c>
      <c r="O4" s="12" t="s">
        <v>527</v>
      </c>
      <c r="P4" s="12" t="s">
        <v>528</v>
      </c>
      <c r="Q4" s="12" t="s">
        <v>529</v>
      </c>
      <c r="R4" s="86" t="s">
        <v>530</v>
      </c>
      <c r="S4" s="86" t="s">
        <v>2</v>
      </c>
      <c r="T4" s="105" t="s">
        <v>532</v>
      </c>
      <c r="U4" s="105" t="s">
        <v>533</v>
      </c>
      <c r="V4" s="86" t="s">
        <v>530</v>
      </c>
      <c r="W4" s="86" t="s">
        <v>2</v>
      </c>
      <c r="X4" s="86" t="s">
        <v>530</v>
      </c>
      <c r="Y4" s="86" t="s">
        <v>2</v>
      </c>
      <c r="Z4" s="86" t="s">
        <v>542</v>
      </c>
      <c r="AA4" s="86" t="s">
        <v>543</v>
      </c>
      <c r="AB4" s="86" t="s">
        <v>540</v>
      </c>
      <c r="AC4" s="86" t="s">
        <v>541</v>
      </c>
      <c r="AD4" s="86" t="s">
        <v>530</v>
      </c>
      <c r="AE4" s="86" t="s">
        <v>2</v>
      </c>
      <c r="AF4" s="116" t="s">
        <v>536</v>
      </c>
      <c r="AG4" s="105" t="s">
        <v>519</v>
      </c>
      <c r="AH4" s="105" t="s">
        <v>9</v>
      </c>
      <c r="AI4" s="119" t="s">
        <v>519</v>
      </c>
      <c r="AJ4" s="86" t="s">
        <v>9</v>
      </c>
      <c r="AK4" s="86" t="s">
        <v>519</v>
      </c>
      <c r="AL4" s="86" t="s">
        <v>9</v>
      </c>
      <c r="AM4" s="86" t="s">
        <v>519</v>
      </c>
      <c r="AN4" s="86" t="s">
        <v>9</v>
      </c>
      <c r="AO4" s="86" t="s">
        <v>519</v>
      </c>
      <c r="AP4" s="86" t="s">
        <v>9</v>
      </c>
      <c r="AQ4" s="86" t="s">
        <v>519</v>
      </c>
      <c r="AR4" s="86" t="s">
        <v>9</v>
      </c>
      <c r="AS4" s="86" t="s">
        <v>519</v>
      </c>
      <c r="AT4" s="86" t="s">
        <v>9</v>
      </c>
      <c r="AU4" s="86" t="s">
        <v>519</v>
      </c>
      <c r="AV4" s="86" t="s">
        <v>9</v>
      </c>
      <c r="AW4" s="86" t="s">
        <v>519</v>
      </c>
      <c r="AX4" s="86" t="s">
        <v>9</v>
      </c>
      <c r="AY4" s="86" t="s">
        <v>519</v>
      </c>
      <c r="AZ4" s="86" t="s">
        <v>9</v>
      </c>
      <c r="BA4" s="86" t="s">
        <v>550</v>
      </c>
      <c r="BB4" s="86" t="s">
        <v>569</v>
      </c>
      <c r="BC4" s="86" t="s">
        <v>570</v>
      </c>
      <c r="BD4" s="150" t="s">
        <v>573</v>
      </c>
      <c r="BE4" s="150" t="s">
        <v>574</v>
      </c>
      <c r="BF4" s="150" t="s">
        <v>571</v>
      </c>
      <c r="BG4" s="157" t="s">
        <v>572</v>
      </c>
      <c r="BH4" s="158" t="s">
        <v>567</v>
      </c>
      <c r="BI4" s="158" t="s">
        <v>566</v>
      </c>
      <c r="BJ4" s="158" t="s">
        <v>567</v>
      </c>
      <c r="BK4" s="158" t="s">
        <v>566</v>
      </c>
      <c r="BL4" s="158" t="s">
        <v>581</v>
      </c>
      <c r="BM4" s="158" t="s">
        <v>2</v>
      </c>
      <c r="BN4" s="158" t="s">
        <v>575</v>
      </c>
      <c r="BO4" s="162" t="s">
        <v>580</v>
      </c>
      <c r="BP4" s="162" t="s">
        <v>579</v>
      </c>
      <c r="BQ4" s="150" t="s">
        <v>573</v>
      </c>
      <c r="BR4" s="150" t="s">
        <v>574</v>
      </c>
      <c r="BS4" s="150" t="s">
        <v>582</v>
      </c>
      <c r="BT4" s="157" t="s">
        <v>583</v>
      </c>
      <c r="BU4" s="150" t="s">
        <v>581</v>
      </c>
      <c r="BV4" s="150" t="s">
        <v>2</v>
      </c>
      <c r="BW4" s="150" t="s">
        <v>581</v>
      </c>
      <c r="BX4" s="150" t="s">
        <v>2</v>
      </c>
      <c r="BY4" s="150" t="s">
        <v>587</v>
      </c>
      <c r="BZ4" s="150" t="s">
        <v>588</v>
      </c>
      <c r="CA4" s="150" t="s">
        <v>581</v>
      </c>
      <c r="CB4" s="150" t="s">
        <v>2</v>
      </c>
    </row>
    <row r="5" spans="1:80" ht="18" x14ac:dyDescent="0.3">
      <c r="A5" s="13">
        <v>1</v>
      </c>
      <c r="B5" s="13"/>
      <c r="C5" s="14"/>
      <c r="D5" s="15" t="s">
        <v>10</v>
      </c>
      <c r="E5" s="16"/>
      <c r="F5" s="82">
        <v>2827.22</v>
      </c>
      <c r="G5" s="82">
        <v>545.40000000000009</v>
      </c>
      <c r="H5" s="82">
        <v>2827.22</v>
      </c>
      <c r="I5" s="17">
        <v>670</v>
      </c>
      <c r="J5" s="87">
        <v>3100</v>
      </c>
      <c r="K5" s="88">
        <v>225</v>
      </c>
      <c r="L5" s="88">
        <v>0</v>
      </c>
      <c r="M5" s="88">
        <f>J5+K5+L5</f>
        <v>3325</v>
      </c>
      <c r="N5" s="88">
        <v>0</v>
      </c>
      <c r="O5" s="88">
        <v>0</v>
      </c>
      <c r="P5" s="88">
        <v>0</v>
      </c>
      <c r="Q5" s="88">
        <f>N5+O5+P5</f>
        <v>0</v>
      </c>
      <c r="R5" s="88">
        <f>Q5+M5</f>
        <v>3325</v>
      </c>
      <c r="S5" s="88">
        <v>600</v>
      </c>
      <c r="V5" s="17">
        <f>ROUND(H5*1.0583,2)</f>
        <v>2992.05</v>
      </c>
      <c r="W5" s="17">
        <f>ROUND(I5*1.0327,2)</f>
        <v>691.91</v>
      </c>
      <c r="X5" s="110">
        <f>R5-V5</f>
        <v>332.94999999999982</v>
      </c>
      <c r="Y5" s="111">
        <f>S5-W5</f>
        <v>-91.909999999999968</v>
      </c>
      <c r="Z5" s="118">
        <f>AD5</f>
        <v>2992.05</v>
      </c>
      <c r="AA5" s="118"/>
      <c r="AB5" s="118">
        <f>Z5+AA5</f>
        <v>2992.05</v>
      </c>
      <c r="AC5" s="111">
        <f>AD5-AB5</f>
        <v>0</v>
      </c>
      <c r="AD5" s="110">
        <f>IF(X5&gt;0,V5,R5)</f>
        <v>2992.05</v>
      </c>
      <c r="AE5" s="110">
        <f>IF(Y5&gt;0,W5,S5)</f>
        <v>600</v>
      </c>
      <c r="AF5" s="110">
        <f>ROUND(S5*0.9022,2)</f>
        <v>541.32000000000005</v>
      </c>
      <c r="AG5" s="110">
        <f>ROUND(AD5/4,0)</f>
        <v>748</v>
      </c>
      <c r="AH5" s="110">
        <f>ROUND(AE5/4,0)</f>
        <v>150</v>
      </c>
      <c r="AI5" s="129">
        <f>ROUND(AD5/12,0)</f>
        <v>249</v>
      </c>
      <c r="AJ5" s="110">
        <f>ROUND(AE5/12,0)</f>
        <v>50</v>
      </c>
      <c r="AM5" s="110">
        <f>ROUND(AD5*25%,2)</f>
        <v>748.01</v>
      </c>
      <c r="AN5" s="110">
        <f>ROUND(AE5*24.35%,2)</f>
        <v>146.1</v>
      </c>
      <c r="AQ5" s="110">
        <f>+AM5+AK5+AG5+AO5</f>
        <v>1496.01</v>
      </c>
      <c r="AR5" s="110">
        <f>+AN5+AL5+AH5+AP5</f>
        <v>296.10000000000002</v>
      </c>
      <c r="AU5" s="110">
        <f t="shared" ref="AU5:AU64" si="0">ROUND(AD5*25%,2)</f>
        <v>748.01</v>
      </c>
      <c r="AV5" s="110">
        <f>ROUND(AE5*25%,2)</f>
        <v>150</v>
      </c>
      <c r="AY5" s="110">
        <f>+AQ5+AS5+AU5+AW5+AI5</f>
        <v>2493.02</v>
      </c>
      <c r="AZ5" s="110">
        <f>+AR5+AT5+AV5+AX5+AJ5</f>
        <v>496.1</v>
      </c>
      <c r="BA5" s="110">
        <f>+AY5+AZ5</f>
        <v>2989.12</v>
      </c>
      <c r="BB5" s="142">
        <v>2275.7399999999998</v>
      </c>
      <c r="BC5" s="142">
        <v>495.56</v>
      </c>
      <c r="BD5" s="142">
        <f>AY5-BB5</f>
        <v>217.2800000000002</v>
      </c>
      <c r="BE5" s="142">
        <f>AZ5-BC5</f>
        <v>0.54000000000002046</v>
      </c>
      <c r="BF5" s="142">
        <f>ROUND(BB5/10*2,2)</f>
        <v>455.15</v>
      </c>
      <c r="BG5" s="142">
        <f>ROUND(BC5/10*2,2)</f>
        <v>99.11</v>
      </c>
      <c r="BH5" s="110">
        <v>118.94</v>
      </c>
      <c r="BI5" s="146">
        <v>49.29</v>
      </c>
      <c r="BJ5" s="146"/>
      <c r="BK5" s="146"/>
      <c r="BL5" s="110">
        <f t="shared" ref="BL5:BL67" si="1">+BH5+AY5+BJ5</f>
        <v>2611.96</v>
      </c>
      <c r="BM5" s="110">
        <f>+BI5+AZ5+BK5</f>
        <v>545.39</v>
      </c>
      <c r="BN5" s="110">
        <f>BL5+BM5</f>
        <v>3157.35</v>
      </c>
      <c r="BO5" s="110">
        <v>2536.19</v>
      </c>
      <c r="BP5" s="129">
        <v>527.89</v>
      </c>
      <c r="BQ5" s="110">
        <f>BL5-BO5</f>
        <v>75.769999999999982</v>
      </c>
      <c r="BR5" s="110">
        <f>BM5-BP5</f>
        <v>17.5</v>
      </c>
      <c r="BS5" s="110">
        <f>ROUND(BO5/11,2)</f>
        <v>230.56</v>
      </c>
      <c r="BT5" s="110">
        <f>ROUND(BP5/11,2)</f>
        <v>47.99</v>
      </c>
      <c r="BU5" s="110">
        <f>BS5-BQ5</f>
        <v>154.79000000000002</v>
      </c>
      <c r="BV5" s="110">
        <f>ROUND(BT5-BR5,2)</f>
        <v>30.49</v>
      </c>
      <c r="BW5" s="110">
        <v>95</v>
      </c>
      <c r="CA5" s="110">
        <f>+BL5+BU5+BW5</f>
        <v>2861.75</v>
      </c>
      <c r="CB5" s="110">
        <f>+BM5+BV5+BX5</f>
        <v>575.88</v>
      </c>
    </row>
    <row r="6" spans="1:80" ht="18" x14ac:dyDescent="0.3">
      <c r="A6" s="13">
        <v>2</v>
      </c>
      <c r="B6" s="13"/>
      <c r="C6" s="14"/>
      <c r="D6" s="15" t="s">
        <v>11</v>
      </c>
      <c r="E6" s="16"/>
      <c r="F6" s="82">
        <v>1244.5600000000002</v>
      </c>
      <c r="G6" s="82">
        <v>0</v>
      </c>
      <c r="H6" s="82">
        <v>1244.5600000000002</v>
      </c>
      <c r="I6" s="17">
        <v>0</v>
      </c>
      <c r="J6" s="87">
        <v>1590.48</v>
      </c>
      <c r="K6" s="88">
        <v>0</v>
      </c>
      <c r="L6" s="88">
        <v>0</v>
      </c>
      <c r="M6" s="88">
        <f>J6+K6+L6</f>
        <v>1590.48</v>
      </c>
      <c r="N6" s="88">
        <v>0</v>
      </c>
      <c r="O6" s="88">
        <v>0</v>
      </c>
      <c r="P6" s="88">
        <v>0</v>
      </c>
      <c r="Q6" s="88">
        <f>N6+O6+P6</f>
        <v>0</v>
      </c>
      <c r="R6" s="88">
        <f>Q6+M6</f>
        <v>1590.48</v>
      </c>
      <c r="S6" s="88">
        <v>0</v>
      </c>
      <c r="V6" s="17">
        <f>ROUND(H6*1.0583,2)</f>
        <v>1317.12</v>
      </c>
      <c r="W6" s="17">
        <f>ROUND(I6*1.0327,2)</f>
        <v>0</v>
      </c>
      <c r="X6" s="110">
        <f t="shared" ref="X6:X66" si="2">R6-V6</f>
        <v>273.36000000000013</v>
      </c>
      <c r="Y6" s="110">
        <f t="shared" ref="Y6:Y66" si="3">S6-W6</f>
        <v>0</v>
      </c>
      <c r="Z6" s="110">
        <f>AD6</f>
        <v>1317.12</v>
      </c>
      <c r="AA6" s="110"/>
      <c r="AB6" s="110">
        <f t="shared" ref="AB6:AB66" si="4">Z6+AA6</f>
        <v>1317.12</v>
      </c>
      <c r="AC6" s="111">
        <f t="shared" ref="AC6:AC66" si="5">AD6-AB6</f>
        <v>0</v>
      </c>
      <c r="AD6" s="110">
        <f>IF(X6&gt;0,V6,R6)</f>
        <v>1317.12</v>
      </c>
      <c r="AE6" s="110">
        <f>IF(Y6&gt;0,W6,S6)</f>
        <v>0</v>
      </c>
      <c r="AF6" s="110">
        <f t="shared" ref="AF6:AF66" si="6">ROUND(S6*0.9022,2)</f>
        <v>0</v>
      </c>
      <c r="AG6" s="110">
        <f t="shared" ref="AG6:AG66" si="7">ROUND(AD6/4,0)</f>
        <v>329</v>
      </c>
      <c r="AH6" s="110">
        <f>ROUND(AE6/4,0)</f>
        <v>0</v>
      </c>
      <c r="AI6" s="129">
        <f t="shared" ref="AI6:AI66" si="8">ROUND(AD6/12,0)</f>
        <v>110</v>
      </c>
      <c r="AJ6" s="110">
        <f t="shared" ref="AJ6:AJ66" si="9">ROUND(AE6/12,0)</f>
        <v>0</v>
      </c>
      <c r="AM6" s="110">
        <f t="shared" ref="AM6:AM66" si="10">ROUND(AD6*25%,2)</f>
        <v>329.28</v>
      </c>
      <c r="AN6" s="110">
        <f t="shared" ref="AN6:AN66" si="11">ROUND(AE6*24.35%,2)</f>
        <v>0</v>
      </c>
      <c r="AQ6" s="110">
        <f t="shared" ref="AQ6:AQ66" si="12">+AM6+AK6+AG6+AO6</f>
        <v>658.28</v>
      </c>
      <c r="AR6" s="110">
        <f t="shared" ref="AR6:AR66" si="13">+AN6+AL6+AH6+AP6</f>
        <v>0</v>
      </c>
      <c r="AU6" s="110">
        <f t="shared" si="0"/>
        <v>329.28</v>
      </c>
      <c r="AV6" s="110">
        <f t="shared" ref="AV6:AV28" si="14">ROUND(AE6*25%,2)</f>
        <v>0</v>
      </c>
      <c r="AY6" s="110">
        <f t="shared" ref="AY6:AY64" si="15">+AQ6+AS6+AU6+AW6+AI6</f>
        <v>1097.56</v>
      </c>
      <c r="AZ6" s="110">
        <f t="shared" ref="AZ6:AZ64" si="16">+AR6+AT6+AV6+AX6+AJ6</f>
        <v>0</v>
      </c>
      <c r="BA6" s="110">
        <f t="shared" ref="BA6:BA64" si="17">+AY6+AZ6</f>
        <v>1097.56</v>
      </c>
      <c r="BB6" s="142">
        <v>1097.56</v>
      </c>
      <c r="BD6" s="142">
        <f t="shared" ref="BD6:BD64" si="18">AY6-BB6</f>
        <v>0</v>
      </c>
      <c r="BE6" s="142">
        <f t="shared" ref="BE6:BE64" si="19">AZ6-BC6</f>
        <v>0</v>
      </c>
      <c r="BF6" s="142">
        <f t="shared" ref="BF6:BF64" si="20">ROUND(BB6/10*2,2)</f>
        <v>219.51</v>
      </c>
      <c r="BG6" s="142">
        <f t="shared" ref="BG6:BG64" si="21">ROUND(BC6/10*2,2)</f>
        <v>0</v>
      </c>
      <c r="BH6" s="110">
        <v>109.76</v>
      </c>
      <c r="BI6" s="110">
        <v>0</v>
      </c>
      <c r="BL6" s="110">
        <f t="shared" si="1"/>
        <v>1207.32</v>
      </c>
      <c r="BM6" s="110">
        <f t="shared" ref="BM6:BM69" si="22">+BI6+AZ6+BK6</f>
        <v>0</v>
      </c>
      <c r="BN6" s="110">
        <f t="shared" ref="BN6:BN69" si="23">BL6+BM6</f>
        <v>1207.32</v>
      </c>
      <c r="BO6" s="110">
        <v>1097.56</v>
      </c>
      <c r="BP6" s="129"/>
      <c r="BQ6" s="110">
        <f t="shared" ref="BQ6:BQ69" si="24">BL6-BO6</f>
        <v>109.75999999999999</v>
      </c>
      <c r="BR6" s="110">
        <f t="shared" ref="BR6:BR69" si="25">BM6-BP6</f>
        <v>0</v>
      </c>
      <c r="BS6" s="110">
        <f t="shared" ref="BS6:BS69" si="26">ROUND(BO6/11,2)</f>
        <v>99.78</v>
      </c>
      <c r="BT6" s="110">
        <f t="shared" ref="BT6:BT69" si="27">ROUND(BP6/11,2)</f>
        <v>0</v>
      </c>
      <c r="BU6" s="110">
        <v>0</v>
      </c>
      <c r="BV6" s="110">
        <f t="shared" ref="BV6:BV12" si="28">ROUND(BT6-BR6,2)</f>
        <v>0</v>
      </c>
      <c r="CA6" s="110">
        <f t="shared" ref="CA6:CA69" si="29">+BL6+BU6+BW6</f>
        <v>1207.32</v>
      </c>
      <c r="CB6" s="110">
        <f t="shared" ref="CB6:CB69" si="30">+BM6+BV6+BX6</f>
        <v>0</v>
      </c>
    </row>
    <row r="7" spans="1:80" ht="18" x14ac:dyDescent="0.3">
      <c r="A7" s="18"/>
      <c r="B7" s="18" t="s">
        <v>12</v>
      </c>
      <c r="C7" s="19" t="s">
        <v>13</v>
      </c>
      <c r="D7" s="20" t="s">
        <v>10</v>
      </c>
      <c r="E7" s="21" t="s">
        <v>14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9">
        <f t="shared" ref="J7:AB7" si="31">+J5+J6</f>
        <v>4690.4799999999996</v>
      </c>
      <c r="K7" s="89">
        <f t="shared" si="31"/>
        <v>225</v>
      </c>
      <c r="L7" s="89">
        <f t="shared" si="31"/>
        <v>0</v>
      </c>
      <c r="M7" s="89">
        <f t="shared" si="31"/>
        <v>4915.4799999999996</v>
      </c>
      <c r="N7" s="89">
        <f t="shared" si="31"/>
        <v>0</v>
      </c>
      <c r="O7" s="89">
        <f t="shared" si="31"/>
        <v>0</v>
      </c>
      <c r="P7" s="89">
        <f t="shared" si="31"/>
        <v>0</v>
      </c>
      <c r="Q7" s="89">
        <f t="shared" si="31"/>
        <v>0</v>
      </c>
      <c r="R7" s="89">
        <f t="shared" si="31"/>
        <v>4915.4799999999996</v>
      </c>
      <c r="S7" s="89">
        <f t="shared" si="31"/>
        <v>600</v>
      </c>
      <c r="T7" s="89">
        <f t="shared" si="31"/>
        <v>0</v>
      </c>
      <c r="U7" s="89">
        <f t="shared" si="31"/>
        <v>0</v>
      </c>
      <c r="V7" s="89">
        <f t="shared" si="31"/>
        <v>4309.17</v>
      </c>
      <c r="W7" s="89">
        <f t="shared" si="31"/>
        <v>691.91</v>
      </c>
      <c r="X7" s="89">
        <f t="shared" si="31"/>
        <v>606.30999999999995</v>
      </c>
      <c r="Y7" s="89">
        <f t="shared" si="31"/>
        <v>-91.909999999999968</v>
      </c>
      <c r="Z7" s="89">
        <f t="shared" si="31"/>
        <v>4309.17</v>
      </c>
      <c r="AA7" s="89">
        <f t="shared" si="31"/>
        <v>0</v>
      </c>
      <c r="AB7" s="89">
        <f t="shared" si="31"/>
        <v>4309.17</v>
      </c>
      <c r="AC7" s="111">
        <f t="shared" si="5"/>
        <v>0</v>
      </c>
      <c r="AD7" s="22">
        <f t="shared" ref="AD7:CB7" si="32">+AD5+AD6</f>
        <v>4309.17</v>
      </c>
      <c r="AE7" s="22">
        <f t="shared" si="32"/>
        <v>600</v>
      </c>
      <c r="AF7" s="22">
        <f t="shared" si="32"/>
        <v>541.32000000000005</v>
      </c>
      <c r="AG7" s="22">
        <f t="shared" si="32"/>
        <v>1077</v>
      </c>
      <c r="AH7" s="22">
        <f t="shared" si="32"/>
        <v>150</v>
      </c>
      <c r="AI7" s="120">
        <f t="shared" si="32"/>
        <v>359</v>
      </c>
      <c r="AJ7" s="22">
        <f t="shared" si="32"/>
        <v>50</v>
      </c>
      <c r="AK7" s="22">
        <f t="shared" si="32"/>
        <v>0</v>
      </c>
      <c r="AL7" s="22">
        <f t="shared" si="32"/>
        <v>0</v>
      </c>
      <c r="AM7" s="22">
        <f t="shared" si="32"/>
        <v>1077.29</v>
      </c>
      <c r="AN7" s="22">
        <f t="shared" si="32"/>
        <v>146.1</v>
      </c>
      <c r="AO7" s="22">
        <f t="shared" si="32"/>
        <v>0</v>
      </c>
      <c r="AP7" s="22">
        <f t="shared" si="32"/>
        <v>0</v>
      </c>
      <c r="AQ7" s="22">
        <f t="shared" si="32"/>
        <v>2154.29</v>
      </c>
      <c r="AR7" s="22">
        <f t="shared" si="32"/>
        <v>296.10000000000002</v>
      </c>
      <c r="AS7" s="22">
        <f t="shared" si="32"/>
        <v>0</v>
      </c>
      <c r="AT7" s="22">
        <f t="shared" si="32"/>
        <v>0</v>
      </c>
      <c r="AU7" s="22">
        <f t="shared" si="32"/>
        <v>1077.29</v>
      </c>
      <c r="AV7" s="22">
        <f t="shared" si="32"/>
        <v>150</v>
      </c>
      <c r="AW7" s="22">
        <f t="shared" si="32"/>
        <v>0</v>
      </c>
      <c r="AX7" s="22">
        <f t="shared" si="32"/>
        <v>0</v>
      </c>
      <c r="AY7" s="22">
        <f t="shared" si="32"/>
        <v>3590.58</v>
      </c>
      <c r="AZ7" s="22">
        <f t="shared" si="32"/>
        <v>496.1</v>
      </c>
      <c r="BA7" s="22">
        <f t="shared" si="32"/>
        <v>4086.68</v>
      </c>
      <c r="BB7" s="22">
        <f t="shared" si="32"/>
        <v>3373.2999999999997</v>
      </c>
      <c r="BC7" s="22">
        <f t="shared" si="32"/>
        <v>495.56</v>
      </c>
      <c r="BD7" s="22">
        <f t="shared" si="32"/>
        <v>217.2800000000002</v>
      </c>
      <c r="BE7" s="22">
        <f t="shared" si="32"/>
        <v>0.54000000000002046</v>
      </c>
      <c r="BF7" s="22">
        <f t="shared" si="32"/>
        <v>674.66</v>
      </c>
      <c r="BG7" s="120">
        <f t="shared" si="32"/>
        <v>99.11</v>
      </c>
      <c r="BH7" s="120">
        <f t="shared" si="32"/>
        <v>228.7</v>
      </c>
      <c r="BI7" s="120">
        <f t="shared" si="32"/>
        <v>49.29</v>
      </c>
      <c r="BJ7" s="120">
        <f t="shared" si="32"/>
        <v>0</v>
      </c>
      <c r="BK7" s="120">
        <f t="shared" si="32"/>
        <v>0</v>
      </c>
      <c r="BL7" s="120">
        <f t="shared" si="32"/>
        <v>3819.2799999999997</v>
      </c>
      <c r="BM7" s="120">
        <f t="shared" si="32"/>
        <v>545.39</v>
      </c>
      <c r="BN7" s="120">
        <f t="shared" si="32"/>
        <v>4364.67</v>
      </c>
      <c r="BO7" s="120">
        <f t="shared" si="32"/>
        <v>3633.75</v>
      </c>
      <c r="BP7" s="120">
        <f t="shared" si="32"/>
        <v>527.89</v>
      </c>
      <c r="BQ7" s="22">
        <f t="shared" si="32"/>
        <v>185.52999999999997</v>
      </c>
      <c r="BR7" s="22">
        <f t="shared" si="32"/>
        <v>17.5</v>
      </c>
      <c r="BS7" s="22">
        <f t="shared" si="32"/>
        <v>330.34000000000003</v>
      </c>
      <c r="BT7" s="22">
        <f t="shared" si="32"/>
        <v>47.99</v>
      </c>
      <c r="BU7" s="22">
        <f t="shared" si="32"/>
        <v>154.79000000000002</v>
      </c>
      <c r="BV7" s="22">
        <f t="shared" si="32"/>
        <v>30.49</v>
      </c>
      <c r="BW7" s="22">
        <f t="shared" si="32"/>
        <v>95</v>
      </c>
      <c r="BX7" s="22">
        <f t="shared" si="32"/>
        <v>0</v>
      </c>
      <c r="BY7" s="22">
        <f t="shared" si="32"/>
        <v>0</v>
      </c>
      <c r="BZ7" s="22">
        <f t="shared" si="32"/>
        <v>0</v>
      </c>
      <c r="CA7" s="22">
        <f t="shared" si="32"/>
        <v>4069.0699999999997</v>
      </c>
      <c r="CB7" s="22">
        <f t="shared" si="32"/>
        <v>575.88</v>
      </c>
    </row>
    <row r="8" spans="1:80" ht="18" x14ac:dyDescent="0.3">
      <c r="A8" s="13">
        <v>3</v>
      </c>
      <c r="B8" s="13"/>
      <c r="C8" s="14"/>
      <c r="D8" s="15" t="s">
        <v>15</v>
      </c>
      <c r="E8" s="16"/>
      <c r="F8" s="82">
        <v>2125</v>
      </c>
      <c r="G8" s="82">
        <v>413.40000000000009</v>
      </c>
      <c r="H8" s="82">
        <v>2125</v>
      </c>
      <c r="I8" s="17">
        <v>470.00000000000011</v>
      </c>
      <c r="J8" s="87">
        <v>2530</v>
      </c>
      <c r="K8" s="88">
        <v>13</v>
      </c>
      <c r="L8" s="88">
        <v>0.18</v>
      </c>
      <c r="M8" s="88">
        <f>J8+K8+L8</f>
        <v>2543.1799999999998</v>
      </c>
      <c r="N8" s="88">
        <v>0</v>
      </c>
      <c r="O8" s="88">
        <v>0</v>
      </c>
      <c r="P8" s="88">
        <v>0</v>
      </c>
      <c r="Q8" s="88">
        <f>N8+O8+P8</f>
        <v>0</v>
      </c>
      <c r="R8" s="88">
        <f>Q8+M8</f>
        <v>2543.1799999999998</v>
      </c>
      <c r="S8" s="88">
        <v>350</v>
      </c>
      <c r="V8" s="17">
        <f>ROUND(H8*1.0583,2)</f>
        <v>2248.89</v>
      </c>
      <c r="W8" s="17">
        <f>ROUND(I8*1.0327,2)</f>
        <v>485.37</v>
      </c>
      <c r="X8" s="110">
        <f t="shared" si="2"/>
        <v>294.28999999999996</v>
      </c>
      <c r="Y8" s="111">
        <f t="shared" si="3"/>
        <v>-135.37</v>
      </c>
      <c r="Z8" s="118">
        <f>AD8</f>
        <v>2248.89</v>
      </c>
      <c r="AA8" s="118"/>
      <c r="AB8" s="118">
        <f t="shared" si="4"/>
        <v>2248.89</v>
      </c>
      <c r="AC8" s="111">
        <f t="shared" si="5"/>
        <v>0</v>
      </c>
      <c r="AD8" s="110">
        <f>IF(X8&gt;0,V8,R8)</f>
        <v>2248.89</v>
      </c>
      <c r="AE8" s="110">
        <f>IF(Y8&gt;0,W8,S8)</f>
        <v>350</v>
      </c>
      <c r="AF8" s="110">
        <f t="shared" si="6"/>
        <v>315.77</v>
      </c>
      <c r="AG8" s="110">
        <f t="shared" si="7"/>
        <v>562</v>
      </c>
      <c r="AH8" s="110">
        <f t="shared" ref="AH8:AH66" si="33">ROUND(AE8/4,0)</f>
        <v>88</v>
      </c>
      <c r="AI8" s="129">
        <f t="shared" si="8"/>
        <v>187</v>
      </c>
      <c r="AJ8" s="110">
        <f t="shared" si="9"/>
        <v>29</v>
      </c>
      <c r="AM8" s="110">
        <f t="shared" si="10"/>
        <v>562.22</v>
      </c>
      <c r="AN8" s="110">
        <f t="shared" si="11"/>
        <v>85.23</v>
      </c>
      <c r="AQ8" s="110">
        <f t="shared" si="12"/>
        <v>1124.22</v>
      </c>
      <c r="AR8" s="110">
        <f t="shared" si="13"/>
        <v>173.23000000000002</v>
      </c>
      <c r="AU8" s="110">
        <f t="shared" si="0"/>
        <v>562.22</v>
      </c>
      <c r="AV8" s="110">
        <f t="shared" si="14"/>
        <v>87.5</v>
      </c>
      <c r="AY8" s="110">
        <f t="shared" si="15"/>
        <v>1873.44</v>
      </c>
      <c r="AZ8" s="110">
        <f t="shared" si="16"/>
        <v>289.73</v>
      </c>
      <c r="BA8" s="110">
        <f t="shared" si="17"/>
        <v>2163.17</v>
      </c>
      <c r="BB8" s="142">
        <v>1826.67</v>
      </c>
      <c r="BC8" s="142">
        <v>183.63</v>
      </c>
      <c r="BD8" s="142">
        <f t="shared" si="18"/>
        <v>46.769999999999982</v>
      </c>
      <c r="BE8" s="142">
        <f t="shared" si="19"/>
        <v>106.10000000000002</v>
      </c>
      <c r="BF8" s="142">
        <f t="shared" si="20"/>
        <v>365.33</v>
      </c>
      <c r="BG8" s="142">
        <f t="shared" si="21"/>
        <v>36.729999999999997</v>
      </c>
      <c r="BH8" s="110">
        <v>159.28</v>
      </c>
      <c r="BI8" s="110">
        <v>0</v>
      </c>
      <c r="BL8" s="110">
        <f t="shared" si="1"/>
        <v>2032.72</v>
      </c>
      <c r="BM8" s="110">
        <f t="shared" si="22"/>
        <v>289.73</v>
      </c>
      <c r="BN8" s="110">
        <f t="shared" si="23"/>
        <v>2322.4499999999998</v>
      </c>
      <c r="BO8" s="168">
        <v>2008.67</v>
      </c>
      <c r="BP8" s="169">
        <v>263.04000000000002</v>
      </c>
      <c r="BQ8" s="110">
        <f t="shared" si="24"/>
        <v>24.049999999999955</v>
      </c>
      <c r="BR8" s="110">
        <f t="shared" si="25"/>
        <v>26.689999999999998</v>
      </c>
      <c r="BS8" s="110">
        <f t="shared" si="26"/>
        <v>182.61</v>
      </c>
      <c r="BT8" s="110">
        <f t="shared" si="27"/>
        <v>23.91</v>
      </c>
      <c r="BU8" s="110">
        <f t="shared" ref="BU8:BU67" si="34">BS8-BQ8</f>
        <v>158.56000000000006</v>
      </c>
      <c r="BV8" s="110">
        <v>0</v>
      </c>
      <c r="BW8" s="111">
        <v>58.72</v>
      </c>
      <c r="BX8" s="110">
        <f>80+0.27</f>
        <v>80.27</v>
      </c>
      <c r="CA8" s="110">
        <f t="shared" si="29"/>
        <v>2250</v>
      </c>
      <c r="CB8" s="110">
        <f t="shared" si="30"/>
        <v>370</v>
      </c>
    </row>
    <row r="9" spans="1:80" ht="18" x14ac:dyDescent="0.3">
      <c r="A9" s="13">
        <v>4</v>
      </c>
      <c r="B9" s="13"/>
      <c r="C9" s="14"/>
      <c r="D9" s="164" t="s">
        <v>16</v>
      </c>
      <c r="E9" s="16"/>
      <c r="F9" s="82">
        <v>284.39000000000004</v>
      </c>
      <c r="G9" s="82">
        <v>0</v>
      </c>
      <c r="H9" s="82">
        <v>303.47000000000003</v>
      </c>
      <c r="I9" s="17">
        <v>0</v>
      </c>
      <c r="J9" s="87">
        <v>279</v>
      </c>
      <c r="K9" s="88">
        <v>0</v>
      </c>
      <c r="L9" s="88">
        <v>0</v>
      </c>
      <c r="M9" s="88">
        <f>J9+K9+L9</f>
        <v>279</v>
      </c>
      <c r="N9" s="88">
        <v>54.75</v>
      </c>
      <c r="O9" s="88">
        <v>0</v>
      </c>
      <c r="P9" s="88">
        <v>0</v>
      </c>
      <c r="Q9" s="88">
        <f>N9+O9+P9</f>
        <v>54.75</v>
      </c>
      <c r="R9" s="88">
        <f>Q9+M9</f>
        <v>333.75</v>
      </c>
      <c r="S9" s="88">
        <v>0</v>
      </c>
      <c r="V9" s="17">
        <f>ROUND(H9*1.0583,2)</f>
        <v>321.16000000000003</v>
      </c>
      <c r="W9" s="17">
        <f>ROUND(I9*1.0327,2)</f>
        <v>0</v>
      </c>
      <c r="X9" s="110">
        <f t="shared" si="2"/>
        <v>12.589999999999975</v>
      </c>
      <c r="Y9" s="110">
        <f t="shared" si="3"/>
        <v>0</v>
      </c>
      <c r="Z9" s="118">
        <v>270</v>
      </c>
      <c r="AA9" s="118">
        <v>51.16</v>
      </c>
      <c r="AB9" s="118">
        <f t="shared" si="4"/>
        <v>321.15999999999997</v>
      </c>
      <c r="AC9" s="111">
        <f t="shared" si="5"/>
        <v>0</v>
      </c>
      <c r="AD9" s="110">
        <f>IF(X9&gt;0,V9,R9)</f>
        <v>321.16000000000003</v>
      </c>
      <c r="AE9" s="110">
        <f>IF(Y9&gt;0,W9,S9)</f>
        <v>0</v>
      </c>
      <c r="AF9" s="110">
        <f t="shared" si="6"/>
        <v>0</v>
      </c>
      <c r="AG9" s="110">
        <f t="shared" si="7"/>
        <v>80</v>
      </c>
      <c r="AH9" s="110">
        <f t="shared" si="33"/>
        <v>0</v>
      </c>
      <c r="AI9" s="129">
        <f t="shared" si="8"/>
        <v>27</v>
      </c>
      <c r="AJ9" s="110">
        <f t="shared" si="9"/>
        <v>0</v>
      </c>
      <c r="AM9" s="110">
        <f t="shared" si="10"/>
        <v>80.290000000000006</v>
      </c>
      <c r="AN9" s="110">
        <f t="shared" si="11"/>
        <v>0</v>
      </c>
      <c r="AQ9" s="110">
        <f t="shared" si="12"/>
        <v>160.29000000000002</v>
      </c>
      <c r="AR9" s="110">
        <f t="shared" si="13"/>
        <v>0</v>
      </c>
      <c r="AU9" s="110">
        <f t="shared" si="0"/>
        <v>80.290000000000006</v>
      </c>
      <c r="AV9" s="110">
        <f t="shared" si="14"/>
        <v>0</v>
      </c>
      <c r="AY9" s="110">
        <f t="shared" si="15"/>
        <v>267.58000000000004</v>
      </c>
      <c r="AZ9" s="110">
        <f t="shared" si="16"/>
        <v>0</v>
      </c>
      <c r="BA9" s="110">
        <f t="shared" si="17"/>
        <v>267.58000000000004</v>
      </c>
      <c r="BB9" s="142">
        <v>267.58</v>
      </c>
      <c r="BD9" s="142">
        <f t="shared" si="18"/>
        <v>0</v>
      </c>
      <c r="BE9" s="142">
        <f t="shared" si="19"/>
        <v>0</v>
      </c>
      <c r="BF9" s="142">
        <f t="shared" si="20"/>
        <v>53.52</v>
      </c>
      <c r="BG9" s="142">
        <f t="shared" si="21"/>
        <v>0</v>
      </c>
      <c r="BH9" s="110">
        <v>26.76</v>
      </c>
      <c r="BI9" s="110">
        <v>0</v>
      </c>
      <c r="BL9" s="110">
        <f t="shared" si="1"/>
        <v>294.34000000000003</v>
      </c>
      <c r="BM9" s="110">
        <f t="shared" si="22"/>
        <v>0</v>
      </c>
      <c r="BN9" s="110">
        <f t="shared" si="23"/>
        <v>294.34000000000003</v>
      </c>
      <c r="BO9" s="168">
        <f>273.64+20.8</f>
        <v>294.44</v>
      </c>
      <c r="BP9" s="170"/>
      <c r="BQ9" s="110">
        <f t="shared" si="24"/>
        <v>-9.9999999999965894E-2</v>
      </c>
      <c r="BR9" s="110">
        <f t="shared" si="25"/>
        <v>0</v>
      </c>
      <c r="BS9" s="110">
        <f t="shared" si="26"/>
        <v>26.77</v>
      </c>
      <c r="BT9" s="110">
        <f t="shared" si="27"/>
        <v>0</v>
      </c>
      <c r="BU9" s="110">
        <f t="shared" si="34"/>
        <v>26.869999999999965</v>
      </c>
      <c r="BV9" s="110">
        <f t="shared" si="28"/>
        <v>0</v>
      </c>
      <c r="BW9" s="111">
        <v>68.790000000000006</v>
      </c>
      <c r="CA9" s="110">
        <f t="shared" si="29"/>
        <v>390</v>
      </c>
      <c r="CB9" s="110">
        <f t="shared" si="30"/>
        <v>0</v>
      </c>
    </row>
    <row r="10" spans="1:80" ht="18" x14ac:dyDescent="0.3">
      <c r="A10" s="18"/>
      <c r="B10" s="18" t="s">
        <v>17</v>
      </c>
      <c r="C10" s="19" t="s">
        <v>18</v>
      </c>
      <c r="D10" s="20" t="s">
        <v>15</v>
      </c>
      <c r="E10" s="21" t="s">
        <v>19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9">
        <f t="shared" ref="J10:AB10" si="35">+J8+J9</f>
        <v>2809</v>
      </c>
      <c r="K10" s="89">
        <f t="shared" si="35"/>
        <v>13</v>
      </c>
      <c r="L10" s="89">
        <f t="shared" si="35"/>
        <v>0.18</v>
      </c>
      <c r="M10" s="89">
        <f t="shared" si="35"/>
        <v>2822.18</v>
      </c>
      <c r="N10" s="89">
        <f t="shared" si="35"/>
        <v>54.75</v>
      </c>
      <c r="O10" s="89">
        <f t="shared" si="35"/>
        <v>0</v>
      </c>
      <c r="P10" s="89">
        <f t="shared" si="35"/>
        <v>0</v>
      </c>
      <c r="Q10" s="89">
        <f t="shared" si="35"/>
        <v>54.75</v>
      </c>
      <c r="R10" s="89">
        <f t="shared" si="35"/>
        <v>2876.93</v>
      </c>
      <c r="S10" s="89">
        <f t="shared" si="35"/>
        <v>350</v>
      </c>
      <c r="T10" s="89">
        <f t="shared" si="35"/>
        <v>0</v>
      </c>
      <c r="U10" s="89">
        <f t="shared" si="35"/>
        <v>0</v>
      </c>
      <c r="V10" s="89">
        <f t="shared" si="35"/>
        <v>2570.0499999999997</v>
      </c>
      <c r="W10" s="89">
        <f t="shared" si="35"/>
        <v>485.37</v>
      </c>
      <c r="X10" s="89">
        <f t="shared" si="35"/>
        <v>306.87999999999994</v>
      </c>
      <c r="Y10" s="89">
        <f t="shared" si="35"/>
        <v>-135.37</v>
      </c>
      <c r="Z10" s="89">
        <f t="shared" si="35"/>
        <v>2518.89</v>
      </c>
      <c r="AA10" s="89">
        <f t="shared" si="35"/>
        <v>51.16</v>
      </c>
      <c r="AB10" s="89">
        <f t="shared" si="35"/>
        <v>2570.0499999999997</v>
      </c>
      <c r="AC10" s="111">
        <f t="shared" si="5"/>
        <v>0</v>
      </c>
      <c r="AD10" s="22">
        <f t="shared" ref="AD10:CB10" si="36">+AD8+AD9</f>
        <v>2570.0499999999997</v>
      </c>
      <c r="AE10" s="22">
        <f t="shared" si="36"/>
        <v>350</v>
      </c>
      <c r="AF10" s="22">
        <f t="shared" si="36"/>
        <v>315.77</v>
      </c>
      <c r="AG10" s="22">
        <f t="shared" si="36"/>
        <v>642</v>
      </c>
      <c r="AH10" s="22">
        <f t="shared" si="36"/>
        <v>88</v>
      </c>
      <c r="AI10" s="120">
        <f t="shared" si="36"/>
        <v>214</v>
      </c>
      <c r="AJ10" s="22">
        <f t="shared" si="36"/>
        <v>29</v>
      </c>
      <c r="AK10" s="22">
        <f t="shared" si="36"/>
        <v>0</v>
      </c>
      <c r="AL10" s="22">
        <f t="shared" si="36"/>
        <v>0</v>
      </c>
      <c r="AM10" s="22">
        <f t="shared" si="36"/>
        <v>642.51</v>
      </c>
      <c r="AN10" s="22">
        <f t="shared" si="36"/>
        <v>85.23</v>
      </c>
      <c r="AO10" s="22">
        <f t="shared" si="36"/>
        <v>0</v>
      </c>
      <c r="AP10" s="22">
        <f t="shared" si="36"/>
        <v>0</v>
      </c>
      <c r="AQ10" s="22">
        <f t="shared" si="36"/>
        <v>1284.51</v>
      </c>
      <c r="AR10" s="22">
        <f t="shared" si="36"/>
        <v>173.23000000000002</v>
      </c>
      <c r="AS10" s="22">
        <f t="shared" si="36"/>
        <v>0</v>
      </c>
      <c r="AT10" s="22">
        <f t="shared" si="36"/>
        <v>0</v>
      </c>
      <c r="AU10" s="22">
        <f t="shared" si="36"/>
        <v>642.51</v>
      </c>
      <c r="AV10" s="22">
        <f t="shared" si="36"/>
        <v>87.5</v>
      </c>
      <c r="AW10" s="22">
        <f t="shared" si="36"/>
        <v>0</v>
      </c>
      <c r="AX10" s="22">
        <f t="shared" si="36"/>
        <v>0</v>
      </c>
      <c r="AY10" s="22">
        <f t="shared" si="36"/>
        <v>2141.02</v>
      </c>
      <c r="AZ10" s="22">
        <f t="shared" si="36"/>
        <v>289.73</v>
      </c>
      <c r="BA10" s="22">
        <f t="shared" si="36"/>
        <v>2430.75</v>
      </c>
      <c r="BB10" s="22">
        <f t="shared" si="36"/>
        <v>2094.25</v>
      </c>
      <c r="BC10" s="22">
        <f t="shared" si="36"/>
        <v>183.63</v>
      </c>
      <c r="BD10" s="22">
        <f t="shared" si="36"/>
        <v>46.769999999999982</v>
      </c>
      <c r="BE10" s="22">
        <f t="shared" si="36"/>
        <v>106.10000000000002</v>
      </c>
      <c r="BF10" s="22">
        <f t="shared" si="36"/>
        <v>418.84999999999997</v>
      </c>
      <c r="BG10" s="120">
        <f t="shared" si="36"/>
        <v>36.729999999999997</v>
      </c>
      <c r="BH10" s="120">
        <f t="shared" si="36"/>
        <v>186.04</v>
      </c>
      <c r="BI10" s="120">
        <f t="shared" si="36"/>
        <v>0</v>
      </c>
      <c r="BJ10" s="120">
        <f t="shared" si="36"/>
        <v>0</v>
      </c>
      <c r="BK10" s="120">
        <f t="shared" si="36"/>
        <v>0</v>
      </c>
      <c r="BL10" s="120">
        <f t="shared" si="36"/>
        <v>2327.06</v>
      </c>
      <c r="BM10" s="120">
        <f t="shared" si="36"/>
        <v>289.73</v>
      </c>
      <c r="BN10" s="120">
        <f t="shared" si="36"/>
        <v>2616.79</v>
      </c>
      <c r="BO10" s="120">
        <f t="shared" si="36"/>
        <v>2303.11</v>
      </c>
      <c r="BP10" s="120">
        <f t="shared" si="36"/>
        <v>263.04000000000002</v>
      </c>
      <c r="BQ10" s="22">
        <f t="shared" si="36"/>
        <v>23.949999999999989</v>
      </c>
      <c r="BR10" s="22">
        <f t="shared" si="36"/>
        <v>26.689999999999998</v>
      </c>
      <c r="BS10" s="22">
        <f t="shared" si="36"/>
        <v>209.38000000000002</v>
      </c>
      <c r="BT10" s="22">
        <f t="shared" si="36"/>
        <v>23.91</v>
      </c>
      <c r="BU10" s="22">
        <f t="shared" si="36"/>
        <v>185.43000000000004</v>
      </c>
      <c r="BV10" s="22">
        <f t="shared" si="36"/>
        <v>0</v>
      </c>
      <c r="BW10" s="22">
        <f t="shared" si="36"/>
        <v>127.51</v>
      </c>
      <c r="BX10" s="22">
        <f t="shared" si="36"/>
        <v>80.27</v>
      </c>
      <c r="BY10" s="22">
        <f t="shared" si="36"/>
        <v>0</v>
      </c>
      <c r="BZ10" s="22">
        <f t="shared" si="36"/>
        <v>0</v>
      </c>
      <c r="CA10" s="22">
        <f t="shared" si="36"/>
        <v>2640</v>
      </c>
      <c r="CB10" s="22">
        <f t="shared" si="36"/>
        <v>370</v>
      </c>
    </row>
    <row r="11" spans="1:80" ht="18" x14ac:dyDescent="0.3">
      <c r="A11" s="13">
        <v>5</v>
      </c>
      <c r="B11" s="13"/>
      <c r="C11" s="14"/>
      <c r="D11" s="15" t="s">
        <v>20</v>
      </c>
      <c r="E11" s="16"/>
      <c r="F11" s="82">
        <v>3460</v>
      </c>
      <c r="G11" s="82">
        <v>4335.1900000000005</v>
      </c>
      <c r="H11" s="82">
        <v>3460</v>
      </c>
      <c r="I11" s="17">
        <v>4365.1900000000005</v>
      </c>
      <c r="J11" s="87">
        <v>3699.7</v>
      </c>
      <c r="K11" s="88">
        <v>0</v>
      </c>
      <c r="L11" s="88">
        <v>0.3</v>
      </c>
      <c r="M11" s="88">
        <f>J11+K11+L11</f>
        <v>3700</v>
      </c>
      <c r="N11" s="88">
        <v>0</v>
      </c>
      <c r="O11" s="88">
        <v>0</v>
      </c>
      <c r="P11" s="88">
        <v>0</v>
      </c>
      <c r="Q11" s="88">
        <f>N11+O11+P11</f>
        <v>0</v>
      </c>
      <c r="R11" s="88">
        <f>Q11+M11</f>
        <v>3700</v>
      </c>
      <c r="S11" s="88">
        <v>4800</v>
      </c>
      <c r="V11" s="17">
        <f>ROUND(H11*1.0583,2)</f>
        <v>3661.72</v>
      </c>
      <c r="W11" s="17">
        <f>ROUND(I11*1.0327,2)</f>
        <v>4507.93</v>
      </c>
      <c r="X11" s="110">
        <f t="shared" si="2"/>
        <v>38.2800000000002</v>
      </c>
      <c r="Y11" s="110">
        <f t="shared" si="3"/>
        <v>292.06999999999971</v>
      </c>
      <c r="Z11" s="110">
        <v>3661.72</v>
      </c>
      <c r="AA11" s="110"/>
      <c r="AB11" s="110">
        <f t="shared" si="4"/>
        <v>3661.72</v>
      </c>
      <c r="AC11" s="111">
        <f t="shared" si="5"/>
        <v>0</v>
      </c>
      <c r="AD11" s="110">
        <f>IF(X11&gt;0,V11,R11)</f>
        <v>3661.72</v>
      </c>
      <c r="AE11" s="110">
        <f>IF(Y11&gt;0,W11,S11)</f>
        <v>4507.93</v>
      </c>
      <c r="AF11" s="110">
        <f t="shared" si="6"/>
        <v>4330.5600000000004</v>
      </c>
      <c r="AG11" s="110">
        <f t="shared" si="7"/>
        <v>915</v>
      </c>
      <c r="AH11" s="110">
        <f t="shared" si="33"/>
        <v>1127</v>
      </c>
      <c r="AI11" s="129">
        <f t="shared" si="8"/>
        <v>305</v>
      </c>
      <c r="AJ11" s="110">
        <f t="shared" si="9"/>
        <v>376</v>
      </c>
      <c r="AM11" s="110">
        <f t="shared" si="10"/>
        <v>915.43</v>
      </c>
      <c r="AN11" s="110">
        <f t="shared" si="11"/>
        <v>1097.68</v>
      </c>
      <c r="AQ11" s="118">
        <f t="shared" si="12"/>
        <v>1830.4299999999998</v>
      </c>
      <c r="AR11" s="118">
        <f t="shared" si="13"/>
        <v>2224.6800000000003</v>
      </c>
      <c r="AS11" s="118"/>
      <c r="AT11" s="118"/>
      <c r="AU11" s="118">
        <f t="shared" si="0"/>
        <v>915.43</v>
      </c>
      <c r="AV11" s="118">
        <f t="shared" si="14"/>
        <v>1126.98</v>
      </c>
      <c r="AW11" s="118"/>
      <c r="AX11" s="146">
        <v>170</v>
      </c>
      <c r="AY11" s="110">
        <f t="shared" si="15"/>
        <v>3050.8599999999997</v>
      </c>
      <c r="AZ11" s="110">
        <f t="shared" si="16"/>
        <v>3897.6600000000003</v>
      </c>
      <c r="BA11" s="110">
        <f t="shared" si="17"/>
        <v>6948.52</v>
      </c>
      <c r="BB11" s="142">
        <v>2999.56</v>
      </c>
      <c r="BC11" s="142">
        <v>3896.74</v>
      </c>
      <c r="BD11" s="142">
        <f t="shared" si="18"/>
        <v>51.299999999999727</v>
      </c>
      <c r="BE11" s="142">
        <f t="shared" si="19"/>
        <v>0.92000000000052751</v>
      </c>
      <c r="BF11" s="142">
        <f t="shared" si="20"/>
        <v>599.91</v>
      </c>
      <c r="BG11" s="142">
        <f t="shared" si="21"/>
        <v>779.35</v>
      </c>
      <c r="BH11" s="110">
        <v>274.31</v>
      </c>
      <c r="BI11" s="111">
        <v>226.17</v>
      </c>
      <c r="BJ11" s="111"/>
      <c r="BK11" s="111"/>
      <c r="BL11" s="110">
        <f t="shared" si="1"/>
        <v>3325.1699999999996</v>
      </c>
      <c r="BM11" s="110">
        <f t="shared" si="22"/>
        <v>4123.83</v>
      </c>
      <c r="BN11" s="110">
        <f t="shared" si="23"/>
        <v>7449</v>
      </c>
      <c r="BO11" s="110">
        <v>3313.13</v>
      </c>
      <c r="BP11" s="129">
        <v>4266.17</v>
      </c>
      <c r="BQ11" s="110">
        <f t="shared" si="24"/>
        <v>12.039999999999509</v>
      </c>
      <c r="BR11" s="110">
        <f t="shared" si="25"/>
        <v>-142.34000000000015</v>
      </c>
      <c r="BS11" s="110">
        <f t="shared" si="26"/>
        <v>301.19</v>
      </c>
      <c r="BT11" s="110">
        <f t="shared" si="27"/>
        <v>387.83</v>
      </c>
      <c r="BU11" s="146">
        <f>BS11-BQ11+20</f>
        <v>309.15000000000049</v>
      </c>
      <c r="BV11" s="110">
        <f t="shared" si="28"/>
        <v>530.16999999999996</v>
      </c>
      <c r="BW11" s="111">
        <f>10.68+60</f>
        <v>70.680000000000007</v>
      </c>
      <c r="BX11" s="110">
        <v>63.89</v>
      </c>
      <c r="CA11" s="110">
        <f t="shared" si="29"/>
        <v>3705</v>
      </c>
      <c r="CB11" s="110">
        <f t="shared" si="30"/>
        <v>4717.8900000000003</v>
      </c>
    </row>
    <row r="12" spans="1:80" ht="36" x14ac:dyDescent="0.3">
      <c r="A12" s="13">
        <v>6</v>
      </c>
      <c r="B12" s="13"/>
      <c r="C12" s="14"/>
      <c r="D12" s="15" t="s">
        <v>21</v>
      </c>
      <c r="E12" s="16"/>
      <c r="F12" s="82">
        <v>0</v>
      </c>
      <c r="G12" s="82">
        <v>0</v>
      </c>
      <c r="H12" s="82">
        <v>0</v>
      </c>
      <c r="I12" s="17">
        <v>0</v>
      </c>
      <c r="J12" s="87">
        <v>0</v>
      </c>
      <c r="K12" s="88">
        <v>0</v>
      </c>
      <c r="L12" s="88">
        <v>0</v>
      </c>
      <c r="M12" s="88">
        <f>J12+K12+L12</f>
        <v>0</v>
      </c>
      <c r="N12" s="88">
        <v>0</v>
      </c>
      <c r="O12" s="88">
        <v>0</v>
      </c>
      <c r="P12" s="88">
        <v>0</v>
      </c>
      <c r="Q12" s="88">
        <f>N12+O12+P12</f>
        <v>0</v>
      </c>
      <c r="R12" s="88">
        <f>Q12+M12</f>
        <v>0</v>
      </c>
      <c r="S12" s="88">
        <v>0</v>
      </c>
      <c r="V12" s="17">
        <f>ROUND(H12*1.0583,2)</f>
        <v>0</v>
      </c>
      <c r="W12" s="17">
        <f>ROUND(I12*1.0327,2)</f>
        <v>0</v>
      </c>
      <c r="X12" s="110">
        <f t="shared" si="2"/>
        <v>0</v>
      </c>
      <c r="Y12" s="110">
        <f t="shared" si="3"/>
        <v>0</v>
      </c>
      <c r="Z12" s="110">
        <v>0</v>
      </c>
      <c r="AA12" s="110"/>
      <c r="AB12" s="110">
        <f t="shared" si="4"/>
        <v>0</v>
      </c>
      <c r="AC12" s="111">
        <f t="shared" si="5"/>
        <v>0</v>
      </c>
      <c r="AD12" s="110">
        <f>IF(X12&gt;0,V12,R12)</f>
        <v>0</v>
      </c>
      <c r="AE12" s="110">
        <f>IF(Y12&gt;0,W12,S12)</f>
        <v>0</v>
      </c>
      <c r="AF12" s="110">
        <f t="shared" si="6"/>
        <v>0</v>
      </c>
      <c r="AG12" s="110">
        <f t="shared" si="7"/>
        <v>0</v>
      </c>
      <c r="AH12" s="110">
        <f t="shared" si="33"/>
        <v>0</v>
      </c>
      <c r="AI12" s="129">
        <f t="shared" si="8"/>
        <v>0</v>
      </c>
      <c r="AJ12" s="110">
        <f t="shared" si="9"/>
        <v>0</v>
      </c>
      <c r="AM12" s="110">
        <f t="shared" si="10"/>
        <v>0</v>
      </c>
      <c r="AN12" s="110">
        <f t="shared" si="11"/>
        <v>0</v>
      </c>
      <c r="AQ12" s="118">
        <f t="shared" si="12"/>
        <v>0</v>
      </c>
      <c r="AR12" s="118">
        <f t="shared" si="13"/>
        <v>0</v>
      </c>
      <c r="AS12" s="118"/>
      <c r="AT12" s="118"/>
      <c r="AU12" s="118">
        <f t="shared" si="0"/>
        <v>0</v>
      </c>
      <c r="AV12" s="118">
        <f t="shared" si="14"/>
        <v>0</v>
      </c>
      <c r="AW12" s="118"/>
      <c r="AX12" s="118"/>
      <c r="AY12" s="110">
        <f t="shared" si="15"/>
        <v>0</v>
      </c>
      <c r="AZ12" s="110">
        <f t="shared" si="16"/>
        <v>0</v>
      </c>
      <c r="BA12" s="110">
        <f t="shared" si="17"/>
        <v>0</v>
      </c>
      <c r="BB12" s="142">
        <v>0</v>
      </c>
      <c r="BD12" s="142">
        <f t="shared" si="18"/>
        <v>0</v>
      </c>
      <c r="BE12" s="142">
        <f t="shared" si="19"/>
        <v>0</v>
      </c>
      <c r="BF12" s="142">
        <f t="shared" si="20"/>
        <v>0</v>
      </c>
      <c r="BG12" s="142">
        <f t="shared" si="21"/>
        <v>0</v>
      </c>
      <c r="BH12" s="110">
        <v>0</v>
      </c>
      <c r="BI12" s="110">
        <v>0</v>
      </c>
      <c r="BL12" s="110">
        <f t="shared" si="1"/>
        <v>0</v>
      </c>
      <c r="BM12" s="110">
        <f t="shared" si="22"/>
        <v>0</v>
      </c>
      <c r="BN12" s="110">
        <f t="shared" si="23"/>
        <v>0</v>
      </c>
      <c r="BP12" s="129"/>
      <c r="BQ12" s="110">
        <f t="shared" si="24"/>
        <v>0</v>
      </c>
      <c r="BR12" s="110">
        <f t="shared" si="25"/>
        <v>0</v>
      </c>
      <c r="BS12" s="110">
        <f t="shared" si="26"/>
        <v>0</v>
      </c>
      <c r="BT12" s="110">
        <f t="shared" si="27"/>
        <v>0</v>
      </c>
      <c r="BU12" s="110">
        <f t="shared" si="34"/>
        <v>0</v>
      </c>
      <c r="BV12" s="110">
        <f t="shared" si="28"/>
        <v>0</v>
      </c>
      <c r="CA12" s="110">
        <f t="shared" si="29"/>
        <v>0</v>
      </c>
      <c r="CB12" s="110">
        <f t="shared" si="30"/>
        <v>0</v>
      </c>
    </row>
    <row r="13" spans="1:80" ht="18" x14ac:dyDescent="0.3">
      <c r="A13" s="23"/>
      <c r="B13" s="23" t="s">
        <v>22</v>
      </c>
      <c r="C13" s="24" t="s">
        <v>23</v>
      </c>
      <c r="D13" s="25" t="s">
        <v>20</v>
      </c>
      <c r="E13" s="26" t="s">
        <v>24</v>
      </c>
      <c r="F13" s="27">
        <v>3460</v>
      </c>
      <c r="G13" s="27">
        <v>4335.1900000000005</v>
      </c>
      <c r="H13" s="27">
        <v>3460</v>
      </c>
      <c r="I13" s="27">
        <v>4365.1900000000005</v>
      </c>
      <c r="J13" s="90">
        <f t="shared" ref="J13:AA13" si="37">+J11+J12</f>
        <v>3699.7</v>
      </c>
      <c r="K13" s="90">
        <f t="shared" si="37"/>
        <v>0</v>
      </c>
      <c r="L13" s="90">
        <f t="shared" si="37"/>
        <v>0.3</v>
      </c>
      <c r="M13" s="90">
        <f t="shared" si="37"/>
        <v>3700</v>
      </c>
      <c r="N13" s="90">
        <f t="shared" si="37"/>
        <v>0</v>
      </c>
      <c r="O13" s="90">
        <f t="shared" si="37"/>
        <v>0</v>
      </c>
      <c r="P13" s="90">
        <f t="shared" si="37"/>
        <v>0</v>
      </c>
      <c r="Q13" s="90">
        <f t="shared" si="37"/>
        <v>0</v>
      </c>
      <c r="R13" s="90">
        <f t="shared" si="37"/>
        <v>3700</v>
      </c>
      <c r="S13" s="90">
        <f t="shared" si="37"/>
        <v>4800</v>
      </c>
      <c r="T13" s="90">
        <f t="shared" si="37"/>
        <v>0</v>
      </c>
      <c r="U13" s="90">
        <f t="shared" si="37"/>
        <v>0</v>
      </c>
      <c r="V13" s="90">
        <f t="shared" si="37"/>
        <v>3661.72</v>
      </c>
      <c r="W13" s="90">
        <f t="shared" si="37"/>
        <v>4507.93</v>
      </c>
      <c r="X13" s="90">
        <f t="shared" si="37"/>
        <v>38.2800000000002</v>
      </c>
      <c r="Y13" s="90">
        <f t="shared" si="37"/>
        <v>292.06999999999971</v>
      </c>
      <c r="Z13" s="90">
        <f t="shared" si="37"/>
        <v>3661.72</v>
      </c>
      <c r="AA13" s="90">
        <f t="shared" si="37"/>
        <v>0</v>
      </c>
      <c r="AB13" s="27">
        <f t="shared" si="4"/>
        <v>3661.72</v>
      </c>
      <c r="AC13" s="111">
        <f t="shared" si="5"/>
        <v>0</v>
      </c>
      <c r="AD13" s="27">
        <f t="shared" ref="AD13:CB13" si="38">+AD11+AD12</f>
        <v>3661.72</v>
      </c>
      <c r="AE13" s="27">
        <f t="shared" si="38"/>
        <v>4507.93</v>
      </c>
      <c r="AF13" s="27">
        <f t="shared" si="38"/>
        <v>4330.5600000000004</v>
      </c>
      <c r="AG13" s="27">
        <f t="shared" si="38"/>
        <v>915</v>
      </c>
      <c r="AH13" s="27">
        <f t="shared" si="38"/>
        <v>1127</v>
      </c>
      <c r="AI13" s="130">
        <f t="shared" si="38"/>
        <v>305</v>
      </c>
      <c r="AJ13" s="27">
        <f t="shared" si="38"/>
        <v>376</v>
      </c>
      <c r="AK13" s="27">
        <f t="shared" si="38"/>
        <v>0</v>
      </c>
      <c r="AL13" s="27">
        <f t="shared" si="38"/>
        <v>0</v>
      </c>
      <c r="AM13" s="27">
        <f t="shared" si="38"/>
        <v>915.43</v>
      </c>
      <c r="AN13" s="27">
        <f t="shared" si="38"/>
        <v>1097.68</v>
      </c>
      <c r="AO13" s="27">
        <f t="shared" si="38"/>
        <v>0</v>
      </c>
      <c r="AP13" s="27">
        <f t="shared" si="38"/>
        <v>0</v>
      </c>
      <c r="AQ13" s="27">
        <f t="shared" si="38"/>
        <v>1830.4299999999998</v>
      </c>
      <c r="AR13" s="27">
        <f t="shared" si="38"/>
        <v>2224.6800000000003</v>
      </c>
      <c r="AS13" s="27">
        <f t="shared" si="38"/>
        <v>0</v>
      </c>
      <c r="AT13" s="27">
        <f t="shared" si="38"/>
        <v>0</v>
      </c>
      <c r="AU13" s="27">
        <f t="shared" si="38"/>
        <v>915.43</v>
      </c>
      <c r="AV13" s="27">
        <f t="shared" si="38"/>
        <v>1126.98</v>
      </c>
      <c r="AW13" s="27">
        <f t="shared" si="38"/>
        <v>0</v>
      </c>
      <c r="AX13" s="27">
        <f t="shared" si="38"/>
        <v>170</v>
      </c>
      <c r="AY13" s="27">
        <f t="shared" si="38"/>
        <v>3050.8599999999997</v>
      </c>
      <c r="AZ13" s="27">
        <f t="shared" si="38"/>
        <v>3897.6600000000003</v>
      </c>
      <c r="BA13" s="27">
        <f t="shared" si="38"/>
        <v>6948.52</v>
      </c>
      <c r="BB13" s="27">
        <f t="shared" si="38"/>
        <v>2999.56</v>
      </c>
      <c r="BC13" s="27">
        <f t="shared" si="38"/>
        <v>3896.74</v>
      </c>
      <c r="BD13" s="27">
        <f t="shared" si="38"/>
        <v>51.299999999999727</v>
      </c>
      <c r="BE13" s="27">
        <f t="shared" si="38"/>
        <v>0.92000000000052751</v>
      </c>
      <c r="BF13" s="27">
        <f t="shared" si="38"/>
        <v>599.91</v>
      </c>
      <c r="BG13" s="130">
        <f t="shared" si="38"/>
        <v>779.35</v>
      </c>
      <c r="BH13" s="130">
        <f t="shared" si="38"/>
        <v>274.31</v>
      </c>
      <c r="BI13" s="130">
        <f t="shared" si="38"/>
        <v>226.17</v>
      </c>
      <c r="BJ13" s="130">
        <f t="shared" si="38"/>
        <v>0</v>
      </c>
      <c r="BK13" s="130">
        <f t="shared" si="38"/>
        <v>0</v>
      </c>
      <c r="BL13" s="130">
        <f t="shared" si="38"/>
        <v>3325.1699999999996</v>
      </c>
      <c r="BM13" s="130">
        <f t="shared" si="38"/>
        <v>4123.83</v>
      </c>
      <c r="BN13" s="130">
        <f t="shared" si="38"/>
        <v>7449</v>
      </c>
      <c r="BO13" s="130">
        <f t="shared" si="38"/>
        <v>3313.13</v>
      </c>
      <c r="BP13" s="130">
        <f t="shared" si="38"/>
        <v>4266.17</v>
      </c>
      <c r="BQ13" s="27">
        <f t="shared" si="38"/>
        <v>12.039999999999509</v>
      </c>
      <c r="BR13" s="27">
        <f t="shared" si="38"/>
        <v>-142.34000000000015</v>
      </c>
      <c r="BS13" s="27">
        <f t="shared" si="38"/>
        <v>301.19</v>
      </c>
      <c r="BT13" s="27">
        <f t="shared" si="38"/>
        <v>387.83</v>
      </c>
      <c r="BU13" s="27">
        <f t="shared" si="38"/>
        <v>309.15000000000049</v>
      </c>
      <c r="BV13" s="27">
        <f t="shared" si="38"/>
        <v>530.16999999999996</v>
      </c>
      <c r="BW13" s="27">
        <f t="shared" si="38"/>
        <v>70.680000000000007</v>
      </c>
      <c r="BX13" s="27">
        <f t="shared" si="38"/>
        <v>63.89</v>
      </c>
      <c r="BY13" s="27">
        <f t="shared" si="38"/>
        <v>0</v>
      </c>
      <c r="BZ13" s="27">
        <f t="shared" si="38"/>
        <v>0</v>
      </c>
      <c r="CA13" s="27">
        <f t="shared" si="38"/>
        <v>3705</v>
      </c>
      <c r="CB13" s="27">
        <f t="shared" si="38"/>
        <v>4717.8900000000003</v>
      </c>
    </row>
    <row r="14" spans="1:80" ht="18" x14ac:dyDescent="0.3">
      <c r="A14" s="13">
        <v>7</v>
      </c>
      <c r="B14" s="28"/>
      <c r="C14" s="29"/>
      <c r="D14" s="30" t="s">
        <v>25</v>
      </c>
      <c r="E14" s="31"/>
      <c r="F14" s="82">
        <v>2001.1100000000004</v>
      </c>
      <c r="G14" s="82">
        <v>2564.23</v>
      </c>
      <c r="H14" s="82">
        <v>2001.1100000000004</v>
      </c>
      <c r="I14" s="32">
        <v>2644.23</v>
      </c>
      <c r="J14" s="91">
        <v>2315</v>
      </c>
      <c r="K14" s="88">
        <v>0</v>
      </c>
      <c r="L14" s="88">
        <v>0</v>
      </c>
      <c r="M14" s="88">
        <f>J14+K14+L14</f>
        <v>2315</v>
      </c>
      <c r="N14" s="88">
        <v>0</v>
      </c>
      <c r="O14" s="88">
        <v>0</v>
      </c>
      <c r="P14" s="88">
        <v>0</v>
      </c>
      <c r="Q14" s="88">
        <f>N14+O14+P14</f>
        <v>0</v>
      </c>
      <c r="R14" s="88">
        <f>Q14+M14</f>
        <v>2315</v>
      </c>
      <c r="S14" s="88">
        <v>2742</v>
      </c>
      <c r="V14" s="17">
        <f>ROUND(H14*1.0583,2)</f>
        <v>2117.77</v>
      </c>
      <c r="W14" s="17">
        <f>ROUND(I14*1.0327,2)</f>
        <v>2730.7</v>
      </c>
      <c r="X14" s="110">
        <f t="shared" si="2"/>
        <v>197.23000000000002</v>
      </c>
      <c r="Y14" s="110">
        <f t="shared" si="3"/>
        <v>11.300000000000182</v>
      </c>
      <c r="Z14" s="110">
        <v>2117.77</v>
      </c>
      <c r="AA14" s="110"/>
      <c r="AB14" s="110">
        <f t="shared" si="4"/>
        <v>2117.77</v>
      </c>
      <c r="AC14" s="111">
        <f t="shared" si="5"/>
        <v>0</v>
      </c>
      <c r="AD14" s="110">
        <f>IF(X14&gt;0,V14,R14)</f>
        <v>2117.77</v>
      </c>
      <c r="AE14" s="110">
        <f>IF(Y14&gt;0,W14,S14)</f>
        <v>2730.7</v>
      </c>
      <c r="AF14" s="110">
        <f t="shared" si="6"/>
        <v>2473.83</v>
      </c>
      <c r="AG14" s="110">
        <f t="shared" si="7"/>
        <v>529</v>
      </c>
      <c r="AH14" s="110">
        <f t="shared" si="33"/>
        <v>683</v>
      </c>
      <c r="AI14" s="129">
        <f t="shared" si="8"/>
        <v>176</v>
      </c>
      <c r="AJ14" s="110">
        <f t="shared" si="9"/>
        <v>228</v>
      </c>
      <c r="AM14" s="110">
        <f t="shared" si="10"/>
        <v>529.44000000000005</v>
      </c>
      <c r="AN14" s="110">
        <f t="shared" si="11"/>
        <v>664.93</v>
      </c>
      <c r="AQ14" s="110">
        <f t="shared" si="12"/>
        <v>1058.44</v>
      </c>
      <c r="AR14" s="110">
        <f t="shared" si="13"/>
        <v>1347.9299999999998</v>
      </c>
      <c r="AU14" s="110">
        <f t="shared" si="0"/>
        <v>529.44000000000005</v>
      </c>
      <c r="AV14" s="140">
        <f>ROUND(AE14*25%,2)-100</f>
        <v>582.67999999999995</v>
      </c>
      <c r="AW14" s="144"/>
      <c r="AX14" s="144"/>
      <c r="AY14" s="110">
        <f t="shared" si="15"/>
        <v>1763.88</v>
      </c>
      <c r="AZ14" s="110">
        <f t="shared" si="16"/>
        <v>2158.6099999999997</v>
      </c>
      <c r="BA14" s="110">
        <f t="shared" si="17"/>
        <v>3922.49</v>
      </c>
      <c r="BB14" s="142">
        <v>1595.63</v>
      </c>
      <c r="BC14" s="142">
        <v>2164.38</v>
      </c>
      <c r="BD14" s="142">
        <f t="shared" si="18"/>
        <v>168.25</v>
      </c>
      <c r="BE14" s="142">
        <f t="shared" si="19"/>
        <v>-5.7700000000004366</v>
      </c>
      <c r="BF14" s="142">
        <f t="shared" si="20"/>
        <v>319.13</v>
      </c>
      <c r="BG14" s="142">
        <f t="shared" si="21"/>
        <v>432.88</v>
      </c>
      <c r="BH14" s="110">
        <v>75.44</v>
      </c>
      <c r="BI14" s="111">
        <v>265.33</v>
      </c>
      <c r="BJ14" s="111"/>
      <c r="BK14" s="111"/>
      <c r="BL14" s="110">
        <f t="shared" si="1"/>
        <v>1839.3200000000002</v>
      </c>
      <c r="BM14" s="110">
        <f t="shared" si="22"/>
        <v>2423.9399999999996</v>
      </c>
      <c r="BN14" s="110">
        <f t="shared" si="23"/>
        <v>4263.26</v>
      </c>
      <c r="BO14" s="110">
        <v>1759.33</v>
      </c>
      <c r="BP14" s="129">
        <v>2561.33</v>
      </c>
      <c r="BQ14" s="110">
        <f t="shared" si="24"/>
        <v>79.990000000000236</v>
      </c>
      <c r="BR14" s="110">
        <f t="shared" si="25"/>
        <v>-137.39000000000033</v>
      </c>
      <c r="BS14" s="110">
        <f t="shared" si="26"/>
        <v>159.94</v>
      </c>
      <c r="BT14" s="110">
        <f t="shared" si="27"/>
        <v>232.85</v>
      </c>
      <c r="BU14" s="146">
        <v>102</v>
      </c>
      <c r="BV14" s="146">
        <v>280</v>
      </c>
      <c r="BW14" s="146"/>
      <c r="BX14" s="146"/>
      <c r="BY14" s="146"/>
      <c r="BZ14" s="146"/>
      <c r="CA14" s="110">
        <f t="shared" si="29"/>
        <v>1941.3200000000002</v>
      </c>
      <c r="CB14" s="110">
        <f t="shared" si="30"/>
        <v>2703.9399999999996</v>
      </c>
    </row>
    <row r="15" spans="1:80" ht="18" x14ac:dyDescent="0.3">
      <c r="A15" s="13">
        <v>8</v>
      </c>
      <c r="B15" s="13"/>
      <c r="C15" s="14"/>
      <c r="D15" s="15" t="s">
        <v>26</v>
      </c>
      <c r="E15" s="16"/>
      <c r="F15" s="82">
        <v>170.92000000000002</v>
      </c>
      <c r="G15" s="82">
        <v>0</v>
      </c>
      <c r="H15" s="82">
        <v>170.92000000000002</v>
      </c>
      <c r="I15" s="17">
        <v>0</v>
      </c>
      <c r="J15" s="87">
        <v>278.3</v>
      </c>
      <c r="K15" s="88">
        <v>0</v>
      </c>
      <c r="L15" s="88">
        <v>0</v>
      </c>
      <c r="M15" s="88">
        <f>J15+K15+L15</f>
        <v>278.3</v>
      </c>
      <c r="N15" s="88">
        <v>0</v>
      </c>
      <c r="O15" s="88">
        <v>0</v>
      </c>
      <c r="P15" s="88">
        <v>0</v>
      </c>
      <c r="Q15" s="88">
        <f>N15+O15+P15</f>
        <v>0</v>
      </c>
      <c r="R15" s="88">
        <f>Q15+M15</f>
        <v>278.3</v>
      </c>
      <c r="S15" s="88">
        <v>0</v>
      </c>
      <c r="V15" s="17">
        <f>ROUND(H15*1.0583,2)</f>
        <v>180.88</v>
      </c>
      <c r="W15" s="17">
        <f>ROUND(I15*1.0327,2)</f>
        <v>0</v>
      </c>
      <c r="X15" s="110">
        <f t="shared" si="2"/>
        <v>97.420000000000016</v>
      </c>
      <c r="Y15" s="110">
        <f t="shared" si="3"/>
        <v>0</v>
      </c>
      <c r="Z15" s="110">
        <v>180.88</v>
      </c>
      <c r="AA15" s="110"/>
      <c r="AB15" s="110">
        <f t="shared" si="4"/>
        <v>180.88</v>
      </c>
      <c r="AC15" s="111">
        <f t="shared" si="5"/>
        <v>0</v>
      </c>
      <c r="AD15" s="110">
        <f>IF(X15&gt;0,V15,R15)</f>
        <v>180.88</v>
      </c>
      <c r="AE15" s="110">
        <f>IF(Y15&gt;0,W15,S15)</f>
        <v>0</v>
      </c>
      <c r="AF15" s="110">
        <f t="shared" si="6"/>
        <v>0</v>
      </c>
      <c r="AG15" s="110">
        <f t="shared" si="7"/>
        <v>45</v>
      </c>
      <c r="AH15" s="110">
        <f t="shared" si="33"/>
        <v>0</v>
      </c>
      <c r="AI15" s="129">
        <f t="shared" si="8"/>
        <v>15</v>
      </c>
      <c r="AJ15" s="110">
        <f t="shared" si="9"/>
        <v>0</v>
      </c>
      <c r="AM15" s="110">
        <f t="shared" si="10"/>
        <v>45.22</v>
      </c>
      <c r="AN15" s="110">
        <f t="shared" si="11"/>
        <v>0</v>
      </c>
      <c r="AQ15" s="110">
        <f t="shared" si="12"/>
        <v>90.22</v>
      </c>
      <c r="AR15" s="110">
        <f t="shared" si="13"/>
        <v>0</v>
      </c>
      <c r="AU15" s="110">
        <f t="shared" si="0"/>
        <v>45.22</v>
      </c>
      <c r="AV15" s="110">
        <f t="shared" si="14"/>
        <v>0</v>
      </c>
      <c r="AY15" s="110">
        <f t="shared" si="15"/>
        <v>150.44</v>
      </c>
      <c r="AZ15" s="110">
        <f t="shared" si="16"/>
        <v>0</v>
      </c>
      <c r="BA15" s="110">
        <f t="shared" si="17"/>
        <v>150.44</v>
      </c>
      <c r="BB15" s="142">
        <v>150.44</v>
      </c>
      <c r="BD15" s="142">
        <f t="shared" si="18"/>
        <v>0</v>
      </c>
      <c r="BE15" s="142">
        <f t="shared" si="19"/>
        <v>0</v>
      </c>
      <c r="BF15" s="142">
        <f t="shared" si="20"/>
        <v>30.09</v>
      </c>
      <c r="BG15" s="142">
        <f t="shared" si="21"/>
        <v>0</v>
      </c>
      <c r="BH15" s="110">
        <v>15.05</v>
      </c>
      <c r="BI15" s="110">
        <v>0</v>
      </c>
      <c r="BL15" s="110">
        <f t="shared" si="1"/>
        <v>165.49</v>
      </c>
      <c r="BM15" s="110">
        <f t="shared" si="22"/>
        <v>0</v>
      </c>
      <c r="BN15" s="110">
        <f t="shared" si="23"/>
        <v>165.49</v>
      </c>
      <c r="BO15" s="110">
        <v>150.44</v>
      </c>
      <c r="BP15" s="129"/>
      <c r="BQ15" s="110">
        <f t="shared" si="24"/>
        <v>15.050000000000011</v>
      </c>
      <c r="BR15" s="110">
        <f t="shared" si="25"/>
        <v>0</v>
      </c>
      <c r="BS15" s="110">
        <f t="shared" si="26"/>
        <v>13.68</v>
      </c>
      <c r="BT15" s="110">
        <f t="shared" si="27"/>
        <v>0</v>
      </c>
      <c r="BU15" s="110">
        <v>0</v>
      </c>
      <c r="BV15" s="110">
        <f>ROUND(BT15-BR15,2)</f>
        <v>0</v>
      </c>
      <c r="BW15" s="111">
        <v>112.81</v>
      </c>
      <c r="CA15" s="110">
        <f t="shared" si="29"/>
        <v>278.3</v>
      </c>
      <c r="CB15" s="110">
        <f t="shared" si="30"/>
        <v>0</v>
      </c>
    </row>
    <row r="16" spans="1:80" ht="18" x14ac:dyDescent="0.3">
      <c r="A16" s="18"/>
      <c r="B16" s="18" t="s">
        <v>27</v>
      </c>
      <c r="C16" s="19" t="s">
        <v>28</v>
      </c>
      <c r="D16" s="20" t="s">
        <v>25</v>
      </c>
      <c r="E16" s="21" t="s">
        <v>29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9">
        <f t="shared" ref="J16:AA16" si="39">+J14+J15</f>
        <v>2593.3000000000002</v>
      </c>
      <c r="K16" s="89">
        <f t="shared" si="39"/>
        <v>0</v>
      </c>
      <c r="L16" s="89">
        <f t="shared" si="39"/>
        <v>0</v>
      </c>
      <c r="M16" s="89">
        <f t="shared" si="39"/>
        <v>2593.3000000000002</v>
      </c>
      <c r="N16" s="89">
        <f t="shared" si="39"/>
        <v>0</v>
      </c>
      <c r="O16" s="89">
        <f t="shared" si="39"/>
        <v>0</v>
      </c>
      <c r="P16" s="89">
        <f t="shared" si="39"/>
        <v>0</v>
      </c>
      <c r="Q16" s="89">
        <f t="shared" si="39"/>
        <v>0</v>
      </c>
      <c r="R16" s="89">
        <f t="shared" si="39"/>
        <v>2593.3000000000002</v>
      </c>
      <c r="S16" s="89">
        <f t="shared" si="39"/>
        <v>2742</v>
      </c>
      <c r="T16" s="89">
        <f t="shared" si="39"/>
        <v>0</v>
      </c>
      <c r="U16" s="89">
        <f t="shared" si="39"/>
        <v>0</v>
      </c>
      <c r="V16" s="89">
        <f t="shared" si="39"/>
        <v>2298.65</v>
      </c>
      <c r="W16" s="89">
        <f t="shared" si="39"/>
        <v>2730.7</v>
      </c>
      <c r="X16" s="89">
        <f t="shared" si="39"/>
        <v>294.65000000000003</v>
      </c>
      <c r="Y16" s="89">
        <f t="shared" si="39"/>
        <v>11.300000000000182</v>
      </c>
      <c r="Z16" s="89">
        <f t="shared" si="39"/>
        <v>2298.65</v>
      </c>
      <c r="AA16" s="89">
        <f t="shared" si="39"/>
        <v>0</v>
      </c>
      <c r="AB16" s="22">
        <f t="shared" si="4"/>
        <v>2298.65</v>
      </c>
      <c r="AC16" s="111">
        <f t="shared" si="5"/>
        <v>0</v>
      </c>
      <c r="AD16" s="22">
        <f t="shared" ref="AD16:CB16" si="40">+AD14+AD15</f>
        <v>2298.65</v>
      </c>
      <c r="AE16" s="22">
        <f t="shared" si="40"/>
        <v>2730.7</v>
      </c>
      <c r="AF16" s="22">
        <f t="shared" si="40"/>
        <v>2473.83</v>
      </c>
      <c r="AG16" s="22">
        <f t="shared" si="40"/>
        <v>574</v>
      </c>
      <c r="AH16" s="22">
        <f t="shared" si="40"/>
        <v>683</v>
      </c>
      <c r="AI16" s="120">
        <f t="shared" si="40"/>
        <v>191</v>
      </c>
      <c r="AJ16" s="22">
        <f t="shared" si="40"/>
        <v>228</v>
      </c>
      <c r="AK16" s="22">
        <f t="shared" si="40"/>
        <v>0</v>
      </c>
      <c r="AL16" s="22">
        <f t="shared" si="40"/>
        <v>0</v>
      </c>
      <c r="AM16" s="22">
        <f t="shared" si="40"/>
        <v>574.66000000000008</v>
      </c>
      <c r="AN16" s="22">
        <f t="shared" si="40"/>
        <v>664.93</v>
      </c>
      <c r="AO16" s="22">
        <f t="shared" si="40"/>
        <v>0</v>
      </c>
      <c r="AP16" s="22">
        <f t="shared" si="40"/>
        <v>0</v>
      </c>
      <c r="AQ16" s="22">
        <f t="shared" si="40"/>
        <v>1148.6600000000001</v>
      </c>
      <c r="AR16" s="22">
        <f t="shared" si="40"/>
        <v>1347.9299999999998</v>
      </c>
      <c r="AS16" s="22">
        <f t="shared" si="40"/>
        <v>0</v>
      </c>
      <c r="AT16" s="22">
        <f t="shared" si="40"/>
        <v>0</v>
      </c>
      <c r="AU16" s="22">
        <f t="shared" si="40"/>
        <v>574.66000000000008</v>
      </c>
      <c r="AV16" s="22">
        <f t="shared" si="40"/>
        <v>582.67999999999995</v>
      </c>
      <c r="AW16" s="22">
        <f t="shared" si="40"/>
        <v>0</v>
      </c>
      <c r="AX16" s="22">
        <f t="shared" si="40"/>
        <v>0</v>
      </c>
      <c r="AY16" s="22">
        <f t="shared" si="40"/>
        <v>1914.3200000000002</v>
      </c>
      <c r="AZ16" s="22">
        <f t="shared" si="40"/>
        <v>2158.6099999999997</v>
      </c>
      <c r="BA16" s="22">
        <f t="shared" si="40"/>
        <v>4072.93</v>
      </c>
      <c r="BB16" s="22">
        <f t="shared" si="40"/>
        <v>1746.0700000000002</v>
      </c>
      <c r="BC16" s="22">
        <f t="shared" si="40"/>
        <v>2164.38</v>
      </c>
      <c r="BD16" s="22">
        <f t="shared" si="40"/>
        <v>168.25</v>
      </c>
      <c r="BE16" s="22">
        <f t="shared" si="40"/>
        <v>-5.7700000000004366</v>
      </c>
      <c r="BF16" s="22">
        <f t="shared" si="40"/>
        <v>349.21999999999997</v>
      </c>
      <c r="BG16" s="120">
        <f t="shared" si="40"/>
        <v>432.88</v>
      </c>
      <c r="BH16" s="120">
        <f t="shared" si="40"/>
        <v>90.49</v>
      </c>
      <c r="BI16" s="120">
        <f t="shared" si="40"/>
        <v>265.33</v>
      </c>
      <c r="BJ16" s="120">
        <f t="shared" si="40"/>
        <v>0</v>
      </c>
      <c r="BK16" s="120">
        <f t="shared" si="40"/>
        <v>0</v>
      </c>
      <c r="BL16" s="120">
        <f t="shared" si="40"/>
        <v>2004.8100000000002</v>
      </c>
      <c r="BM16" s="120">
        <f t="shared" si="40"/>
        <v>2423.9399999999996</v>
      </c>
      <c r="BN16" s="120">
        <f t="shared" si="40"/>
        <v>4428.75</v>
      </c>
      <c r="BO16" s="120">
        <f t="shared" si="40"/>
        <v>1909.77</v>
      </c>
      <c r="BP16" s="120">
        <f t="shared" si="40"/>
        <v>2561.33</v>
      </c>
      <c r="BQ16" s="22">
        <f t="shared" si="40"/>
        <v>95.040000000000248</v>
      </c>
      <c r="BR16" s="22">
        <f t="shared" si="40"/>
        <v>-137.39000000000033</v>
      </c>
      <c r="BS16" s="22">
        <f t="shared" si="40"/>
        <v>173.62</v>
      </c>
      <c r="BT16" s="22">
        <f t="shared" si="40"/>
        <v>232.85</v>
      </c>
      <c r="BU16" s="22">
        <f t="shared" si="40"/>
        <v>102</v>
      </c>
      <c r="BV16" s="22">
        <f t="shared" si="40"/>
        <v>280</v>
      </c>
      <c r="BW16" s="22">
        <f t="shared" si="40"/>
        <v>112.81</v>
      </c>
      <c r="BX16" s="22">
        <f t="shared" si="40"/>
        <v>0</v>
      </c>
      <c r="BY16" s="22">
        <f t="shared" si="40"/>
        <v>0</v>
      </c>
      <c r="BZ16" s="22">
        <f t="shared" si="40"/>
        <v>0</v>
      </c>
      <c r="CA16" s="22">
        <f t="shared" si="40"/>
        <v>2219.6200000000003</v>
      </c>
      <c r="CB16" s="22">
        <f t="shared" si="40"/>
        <v>2703.9399999999996</v>
      </c>
    </row>
    <row r="17" spans="1:80" ht="18" x14ac:dyDescent="0.3">
      <c r="A17" s="13">
        <v>9</v>
      </c>
      <c r="B17" s="13"/>
      <c r="C17" s="14"/>
      <c r="D17" s="15" t="s">
        <v>30</v>
      </c>
      <c r="E17" s="16"/>
      <c r="F17" s="82">
        <v>21584.51</v>
      </c>
      <c r="G17" s="82">
        <v>18901.61</v>
      </c>
      <c r="H17" s="82">
        <v>21709.51</v>
      </c>
      <c r="I17" s="17">
        <v>18901.61</v>
      </c>
      <c r="J17" s="87">
        <v>23200</v>
      </c>
      <c r="K17" s="88">
        <v>0</v>
      </c>
      <c r="L17" s="88">
        <v>0</v>
      </c>
      <c r="M17" s="88">
        <f>J17+K17+L17</f>
        <v>23200</v>
      </c>
      <c r="N17" s="88">
        <v>0</v>
      </c>
      <c r="O17" s="88">
        <v>0</v>
      </c>
      <c r="P17" s="88">
        <v>0</v>
      </c>
      <c r="Q17" s="88">
        <f>N17+O17+P17</f>
        <v>0</v>
      </c>
      <c r="R17" s="88">
        <f>Q17+M17</f>
        <v>23200</v>
      </c>
      <c r="S17" s="88">
        <v>21000</v>
      </c>
      <c r="V17" s="17">
        <f>ROUND(H17*1.0583,2)</f>
        <v>22975.17</v>
      </c>
      <c r="W17" s="17">
        <f>ROUND(I17*1.0327,2)</f>
        <v>19519.689999999999</v>
      </c>
      <c r="X17" s="110">
        <f t="shared" si="2"/>
        <v>224.83000000000175</v>
      </c>
      <c r="Y17" s="110">
        <f t="shared" si="3"/>
        <v>1480.3100000000013</v>
      </c>
      <c r="Z17" s="110">
        <v>22975.17</v>
      </c>
      <c r="AA17" s="110"/>
      <c r="AB17" s="110">
        <f t="shared" si="4"/>
        <v>22975.17</v>
      </c>
      <c r="AC17" s="111">
        <f t="shared" si="5"/>
        <v>0</v>
      </c>
      <c r="AD17" s="110">
        <f>IF(X17&gt;0,V17,R17)</f>
        <v>22975.17</v>
      </c>
      <c r="AE17" s="110">
        <f>IF(Y17&gt;0,W17,S17)+500</f>
        <v>20019.689999999999</v>
      </c>
      <c r="AF17" s="110">
        <f t="shared" si="6"/>
        <v>18946.2</v>
      </c>
      <c r="AG17" s="110">
        <f t="shared" si="7"/>
        <v>5744</v>
      </c>
      <c r="AH17" s="110">
        <f t="shared" si="33"/>
        <v>5005</v>
      </c>
      <c r="AI17" s="129">
        <f t="shared" si="8"/>
        <v>1915</v>
      </c>
      <c r="AJ17" s="110">
        <f t="shared" si="9"/>
        <v>1668</v>
      </c>
      <c r="AM17" s="110">
        <f t="shared" si="10"/>
        <v>5743.79</v>
      </c>
      <c r="AN17" s="110">
        <f>ROUND(AE17*24.35%,2)</f>
        <v>4874.79</v>
      </c>
      <c r="AQ17" s="118">
        <f t="shared" si="12"/>
        <v>11487.79</v>
      </c>
      <c r="AR17" s="118">
        <f t="shared" si="13"/>
        <v>9879.7900000000009</v>
      </c>
      <c r="AS17" s="146">
        <v>300</v>
      </c>
      <c r="AT17" s="118"/>
      <c r="AU17" s="118">
        <f>ROUND(AD17*25%,2)+756.21</f>
        <v>6500</v>
      </c>
      <c r="AV17" s="118">
        <f>ROUND(AE17*25%,2)+1995.08</f>
        <v>7000</v>
      </c>
      <c r="AW17" s="118"/>
      <c r="AX17" s="118"/>
      <c r="AY17" s="110">
        <f t="shared" si="15"/>
        <v>20202.79</v>
      </c>
      <c r="AZ17" s="110">
        <f t="shared" si="16"/>
        <v>18547.79</v>
      </c>
      <c r="BA17" s="110">
        <f t="shared" si="17"/>
        <v>38750.58</v>
      </c>
      <c r="BB17" s="142">
        <v>19212.52</v>
      </c>
      <c r="BC17" s="142">
        <v>18544.14</v>
      </c>
      <c r="BD17" s="142">
        <f t="shared" si="18"/>
        <v>990.27000000000044</v>
      </c>
      <c r="BE17" s="142">
        <f t="shared" si="19"/>
        <v>3.6500000000014552</v>
      </c>
      <c r="BF17" s="142">
        <f t="shared" si="20"/>
        <v>3842.5</v>
      </c>
      <c r="BG17" s="142">
        <f t="shared" si="21"/>
        <v>3708.83</v>
      </c>
      <c r="BH17" s="110">
        <v>2450</v>
      </c>
      <c r="BI17" s="110">
        <v>2000</v>
      </c>
      <c r="BL17" s="110">
        <f t="shared" si="1"/>
        <v>22652.79</v>
      </c>
      <c r="BM17" s="110">
        <f t="shared" si="22"/>
        <v>20547.79</v>
      </c>
      <c r="BN17" s="110">
        <f t="shared" si="23"/>
        <v>43200.58</v>
      </c>
      <c r="BO17" s="110">
        <v>21397.05</v>
      </c>
      <c r="BP17" s="129">
        <v>20023.29</v>
      </c>
      <c r="BQ17" s="110">
        <f t="shared" si="24"/>
        <v>1255.7400000000016</v>
      </c>
      <c r="BR17" s="110">
        <f t="shared" si="25"/>
        <v>524.5</v>
      </c>
      <c r="BS17" s="110">
        <f t="shared" si="26"/>
        <v>1945.19</v>
      </c>
      <c r="BT17" s="110">
        <f t="shared" si="27"/>
        <v>1820.3</v>
      </c>
      <c r="BU17" s="110">
        <f>ROUND(BS17-BQ17,2)-1.36-2.65</f>
        <v>685.44</v>
      </c>
      <c r="BV17" s="146">
        <f>ROUND(BT17-BR17,2)-50</f>
        <v>1245.8</v>
      </c>
      <c r="BW17" s="111">
        <v>1000</v>
      </c>
      <c r="BX17" s="146">
        <v>404</v>
      </c>
      <c r="BY17" s="146"/>
      <c r="BZ17" s="146"/>
      <c r="CA17" s="110">
        <f t="shared" si="29"/>
        <v>24338.23</v>
      </c>
      <c r="CB17" s="110">
        <f t="shared" si="30"/>
        <v>22197.59</v>
      </c>
    </row>
    <row r="18" spans="1:80" ht="18" x14ac:dyDescent="0.3">
      <c r="A18" s="13">
        <v>10</v>
      </c>
      <c r="B18" s="13"/>
      <c r="C18" s="14"/>
      <c r="D18" s="15" t="s">
        <v>31</v>
      </c>
      <c r="E18" s="16"/>
      <c r="F18" s="82">
        <v>387.7</v>
      </c>
      <c r="G18" s="82">
        <v>0</v>
      </c>
      <c r="H18" s="82">
        <v>387.7</v>
      </c>
      <c r="I18" s="17">
        <v>0</v>
      </c>
      <c r="J18" s="87">
        <v>517.16999999999996</v>
      </c>
      <c r="K18" s="88">
        <v>0</v>
      </c>
      <c r="L18" s="88">
        <v>0</v>
      </c>
      <c r="M18" s="88">
        <f>J18+K18+L18</f>
        <v>517.16999999999996</v>
      </c>
      <c r="N18" s="88">
        <v>0</v>
      </c>
      <c r="O18" s="88">
        <v>0</v>
      </c>
      <c r="P18" s="88">
        <v>0</v>
      </c>
      <c r="Q18" s="88">
        <f t="shared" ref="Q18:Q25" si="41">N18+O18+P18</f>
        <v>0</v>
      </c>
      <c r="R18" s="88">
        <f t="shared" ref="R18:R35" si="42">Q18+M18</f>
        <v>517.16999999999996</v>
      </c>
      <c r="S18" s="88">
        <v>0</v>
      </c>
      <c r="V18" s="17">
        <f>ROUND(H18*1.0583,2)</f>
        <v>410.3</v>
      </c>
      <c r="W18" s="17">
        <f>ROUND(I18*1.0327,2)</f>
        <v>0</v>
      </c>
      <c r="X18" s="110">
        <f t="shared" si="2"/>
        <v>106.86999999999995</v>
      </c>
      <c r="Y18" s="110">
        <f t="shared" si="3"/>
        <v>0</v>
      </c>
      <c r="Z18" s="110">
        <v>410.3</v>
      </c>
      <c r="AA18" s="110"/>
      <c r="AB18" s="110">
        <f t="shared" si="4"/>
        <v>410.3</v>
      </c>
      <c r="AC18" s="111">
        <f t="shared" si="5"/>
        <v>0</v>
      </c>
      <c r="AD18" s="110">
        <f>IF(X18&gt;0,V18,R18)</f>
        <v>410.3</v>
      </c>
      <c r="AE18" s="110">
        <f>IF(Y18&gt;0,W18,S18)</f>
        <v>0</v>
      </c>
      <c r="AF18" s="110">
        <f t="shared" si="6"/>
        <v>0</v>
      </c>
      <c r="AG18" s="110">
        <f t="shared" si="7"/>
        <v>103</v>
      </c>
      <c r="AH18" s="110">
        <f t="shared" si="33"/>
        <v>0</v>
      </c>
      <c r="AI18" s="129">
        <f t="shared" si="8"/>
        <v>34</v>
      </c>
      <c r="AJ18" s="110">
        <f t="shared" si="9"/>
        <v>0</v>
      </c>
      <c r="AM18" s="110">
        <f t="shared" si="10"/>
        <v>102.58</v>
      </c>
      <c r="AN18" s="110">
        <f t="shared" si="11"/>
        <v>0</v>
      </c>
      <c r="AQ18" s="118">
        <f t="shared" si="12"/>
        <v>205.57999999999998</v>
      </c>
      <c r="AR18" s="118">
        <f t="shared" si="13"/>
        <v>0</v>
      </c>
      <c r="AS18" s="118"/>
      <c r="AT18" s="118"/>
      <c r="AU18" s="118">
        <f t="shared" si="0"/>
        <v>102.58</v>
      </c>
      <c r="AV18" s="118">
        <f t="shared" si="14"/>
        <v>0</v>
      </c>
      <c r="AW18" s="118"/>
      <c r="AX18" s="118"/>
      <c r="AY18" s="110">
        <f t="shared" si="15"/>
        <v>342.15999999999997</v>
      </c>
      <c r="AZ18" s="110">
        <f t="shared" si="16"/>
        <v>0</v>
      </c>
      <c r="BA18" s="110">
        <f t="shared" si="17"/>
        <v>342.15999999999997</v>
      </c>
      <c r="BB18" s="142">
        <v>239.58</v>
      </c>
      <c r="BD18" s="142">
        <f t="shared" si="18"/>
        <v>102.57999999999996</v>
      </c>
      <c r="BE18" s="142">
        <f t="shared" si="19"/>
        <v>0</v>
      </c>
      <c r="BF18" s="142">
        <f t="shared" si="20"/>
        <v>47.92</v>
      </c>
      <c r="BG18" s="142">
        <f t="shared" si="21"/>
        <v>0</v>
      </c>
      <c r="BH18" s="110">
        <v>0</v>
      </c>
      <c r="BI18" s="110">
        <v>0</v>
      </c>
      <c r="BL18" s="110">
        <f t="shared" si="1"/>
        <v>342.15999999999997</v>
      </c>
      <c r="BM18" s="110">
        <f t="shared" si="22"/>
        <v>0</v>
      </c>
      <c r="BN18" s="110">
        <f t="shared" si="23"/>
        <v>342.15999999999997</v>
      </c>
      <c r="BO18" s="110">
        <v>342.16</v>
      </c>
      <c r="BP18" s="129"/>
      <c r="BQ18" s="110">
        <f t="shared" si="24"/>
        <v>0</v>
      </c>
      <c r="BR18" s="110">
        <f t="shared" si="25"/>
        <v>0</v>
      </c>
      <c r="BS18" s="110">
        <f t="shared" si="26"/>
        <v>31.11</v>
      </c>
      <c r="BT18" s="110">
        <f t="shared" si="27"/>
        <v>0</v>
      </c>
      <c r="BU18" s="110">
        <f t="shared" ref="BU18:BU23" si="43">ROUND(BS18-BQ18,2)</f>
        <v>31.11</v>
      </c>
      <c r="BV18" s="110">
        <f t="shared" ref="BV18:BV28" si="44">ROUND(BT18-BR18,2)</f>
        <v>0</v>
      </c>
      <c r="BW18" s="111"/>
      <c r="CA18" s="110">
        <f t="shared" si="29"/>
        <v>373.27</v>
      </c>
      <c r="CB18" s="110">
        <f t="shared" si="30"/>
        <v>0</v>
      </c>
    </row>
    <row r="19" spans="1:80" ht="18" x14ac:dyDescent="0.3">
      <c r="A19" s="13">
        <v>11</v>
      </c>
      <c r="B19" s="13"/>
      <c r="C19" s="14"/>
      <c r="D19" s="15" t="s">
        <v>32</v>
      </c>
      <c r="E19" s="16"/>
      <c r="F19" s="82">
        <v>135.15</v>
      </c>
      <c r="G19" s="82">
        <v>0</v>
      </c>
      <c r="H19" s="82">
        <v>169.15</v>
      </c>
      <c r="I19" s="17">
        <v>0</v>
      </c>
      <c r="J19" s="87">
        <v>140</v>
      </c>
      <c r="K19" s="88">
        <v>0</v>
      </c>
      <c r="L19" s="88">
        <v>0</v>
      </c>
      <c r="M19" s="88">
        <f t="shared" ref="M19:M35" si="45">J19+K19+L19</f>
        <v>140</v>
      </c>
      <c r="N19" s="88">
        <v>46.48</v>
      </c>
      <c r="O19" s="88">
        <v>0</v>
      </c>
      <c r="P19" s="88">
        <v>0</v>
      </c>
      <c r="Q19" s="88">
        <f t="shared" si="41"/>
        <v>46.48</v>
      </c>
      <c r="R19" s="88">
        <f t="shared" si="42"/>
        <v>186.48</v>
      </c>
      <c r="S19" s="88">
        <v>0</v>
      </c>
      <c r="V19" s="17">
        <f t="shared" ref="V19:V23" si="46">ROUND(H19*1.0583,2)</f>
        <v>179.01</v>
      </c>
      <c r="W19" s="17">
        <f t="shared" ref="W19:W23" si="47">ROUND(I19*1.0327,2)</f>
        <v>0</v>
      </c>
      <c r="X19" s="110">
        <f t="shared" si="2"/>
        <v>7.4699999999999989</v>
      </c>
      <c r="Y19" s="110">
        <f t="shared" si="3"/>
        <v>0</v>
      </c>
      <c r="Z19" s="110">
        <v>139.01</v>
      </c>
      <c r="AA19" s="110">
        <v>40</v>
      </c>
      <c r="AB19" s="110">
        <f t="shared" si="4"/>
        <v>179.01</v>
      </c>
      <c r="AC19" s="111">
        <f t="shared" si="5"/>
        <v>0</v>
      </c>
      <c r="AD19" s="110">
        <f t="shared" ref="AD19:AD23" si="48">IF(X19&gt;0,V19,R19)</f>
        <v>179.01</v>
      </c>
      <c r="AE19" s="110">
        <f t="shared" ref="AE19:AE23" si="49">IF(Y19&gt;0,W19,S19)</f>
        <v>0</v>
      </c>
      <c r="AF19" s="110">
        <f t="shared" si="6"/>
        <v>0</v>
      </c>
      <c r="AG19" s="110">
        <f t="shared" si="7"/>
        <v>45</v>
      </c>
      <c r="AH19" s="110">
        <f t="shared" si="33"/>
        <v>0</v>
      </c>
      <c r="AI19" s="129">
        <f t="shared" si="8"/>
        <v>15</v>
      </c>
      <c r="AJ19" s="110">
        <f t="shared" si="9"/>
        <v>0</v>
      </c>
      <c r="AM19" s="110">
        <f t="shared" si="10"/>
        <v>44.75</v>
      </c>
      <c r="AN19" s="110">
        <f t="shared" si="11"/>
        <v>0</v>
      </c>
      <c r="AQ19" s="118">
        <f t="shared" si="12"/>
        <v>89.75</v>
      </c>
      <c r="AR19" s="118">
        <f t="shared" si="13"/>
        <v>0</v>
      </c>
      <c r="AS19" s="118"/>
      <c r="AT19" s="118"/>
      <c r="AU19" s="118">
        <f t="shared" si="0"/>
        <v>44.75</v>
      </c>
      <c r="AV19" s="118">
        <f t="shared" si="14"/>
        <v>0</v>
      </c>
      <c r="AW19" s="118"/>
      <c r="AX19" s="118"/>
      <c r="AY19" s="110">
        <f t="shared" si="15"/>
        <v>149.5</v>
      </c>
      <c r="AZ19" s="110">
        <f t="shared" si="16"/>
        <v>0</v>
      </c>
      <c r="BA19" s="110">
        <f t="shared" si="17"/>
        <v>149.5</v>
      </c>
      <c r="BB19" s="142">
        <v>149.5</v>
      </c>
      <c r="BD19" s="142">
        <f t="shared" si="18"/>
        <v>0</v>
      </c>
      <c r="BE19" s="142">
        <f t="shared" si="19"/>
        <v>0</v>
      </c>
      <c r="BF19" s="142">
        <f t="shared" si="20"/>
        <v>29.9</v>
      </c>
      <c r="BG19" s="142">
        <f t="shared" si="21"/>
        <v>0</v>
      </c>
      <c r="BH19" s="110">
        <v>14.95</v>
      </c>
      <c r="BI19" s="110">
        <v>0</v>
      </c>
      <c r="BL19" s="110">
        <f t="shared" si="1"/>
        <v>164.45</v>
      </c>
      <c r="BM19" s="110">
        <f t="shared" si="22"/>
        <v>0</v>
      </c>
      <c r="BN19" s="110">
        <f t="shared" si="23"/>
        <v>164.45</v>
      </c>
      <c r="BO19" s="110">
        <v>149.5</v>
      </c>
      <c r="BP19" s="129"/>
      <c r="BQ19" s="110">
        <f t="shared" si="24"/>
        <v>14.949999999999989</v>
      </c>
      <c r="BR19" s="110">
        <f t="shared" si="25"/>
        <v>0</v>
      </c>
      <c r="BS19" s="110">
        <f t="shared" si="26"/>
        <v>13.59</v>
      </c>
      <c r="BT19" s="110">
        <f t="shared" si="27"/>
        <v>0</v>
      </c>
      <c r="BU19" s="110">
        <f>ROUND(BS19-BQ19,2)+1.36</f>
        <v>0</v>
      </c>
      <c r="BV19" s="110">
        <f t="shared" si="44"/>
        <v>0</v>
      </c>
      <c r="BW19" s="111">
        <v>40</v>
      </c>
      <c r="CA19" s="110">
        <f t="shared" si="29"/>
        <v>204.45</v>
      </c>
      <c r="CB19" s="110">
        <f t="shared" si="30"/>
        <v>0</v>
      </c>
    </row>
    <row r="20" spans="1:80" ht="18" x14ac:dyDescent="0.3">
      <c r="A20" s="13">
        <v>12</v>
      </c>
      <c r="B20" s="13"/>
      <c r="C20" s="14"/>
      <c r="D20" s="15" t="s">
        <v>33</v>
      </c>
      <c r="E20" s="16"/>
      <c r="F20" s="82">
        <v>0</v>
      </c>
      <c r="G20" s="82">
        <v>0</v>
      </c>
      <c r="H20" s="82">
        <v>0</v>
      </c>
      <c r="I20" s="17">
        <v>0</v>
      </c>
      <c r="J20" s="87">
        <v>0</v>
      </c>
      <c r="K20" s="88">
        <v>0</v>
      </c>
      <c r="L20" s="88">
        <v>0</v>
      </c>
      <c r="M20" s="88">
        <f t="shared" si="45"/>
        <v>0</v>
      </c>
      <c r="N20" s="88">
        <v>0</v>
      </c>
      <c r="O20" s="88">
        <v>0</v>
      </c>
      <c r="P20" s="88">
        <v>0</v>
      </c>
      <c r="Q20" s="88">
        <f t="shared" si="41"/>
        <v>0</v>
      </c>
      <c r="R20" s="88">
        <f t="shared" si="42"/>
        <v>0</v>
      </c>
      <c r="S20" s="88">
        <v>0</v>
      </c>
      <c r="V20" s="17">
        <f t="shared" si="46"/>
        <v>0</v>
      </c>
      <c r="W20" s="17">
        <f t="shared" si="47"/>
        <v>0</v>
      </c>
      <c r="X20" s="110">
        <f t="shared" si="2"/>
        <v>0</v>
      </c>
      <c r="Y20" s="110">
        <f t="shared" si="3"/>
        <v>0</v>
      </c>
      <c r="Z20" s="110">
        <v>0</v>
      </c>
      <c r="AA20" s="110"/>
      <c r="AB20" s="110">
        <f t="shared" si="4"/>
        <v>0</v>
      </c>
      <c r="AC20" s="111">
        <f t="shared" si="5"/>
        <v>0</v>
      </c>
      <c r="AD20" s="110">
        <f t="shared" si="48"/>
        <v>0</v>
      </c>
      <c r="AE20" s="110">
        <f t="shared" si="49"/>
        <v>0</v>
      </c>
      <c r="AF20" s="110">
        <f t="shared" si="6"/>
        <v>0</v>
      </c>
      <c r="AG20" s="110">
        <f t="shared" si="7"/>
        <v>0</v>
      </c>
      <c r="AH20" s="110">
        <f t="shared" si="33"/>
        <v>0</v>
      </c>
      <c r="AI20" s="129">
        <f t="shared" si="8"/>
        <v>0</v>
      </c>
      <c r="AJ20" s="110">
        <f t="shared" si="9"/>
        <v>0</v>
      </c>
      <c r="AM20" s="110">
        <f t="shared" si="10"/>
        <v>0</v>
      </c>
      <c r="AN20" s="110">
        <f t="shared" si="11"/>
        <v>0</v>
      </c>
      <c r="AQ20" s="118">
        <f t="shared" si="12"/>
        <v>0</v>
      </c>
      <c r="AR20" s="118">
        <f t="shared" si="13"/>
        <v>0</v>
      </c>
      <c r="AS20" s="118"/>
      <c r="AT20" s="118"/>
      <c r="AU20" s="118">
        <f t="shared" si="0"/>
        <v>0</v>
      </c>
      <c r="AV20" s="118">
        <f t="shared" si="14"/>
        <v>0</v>
      </c>
      <c r="AW20" s="118"/>
      <c r="AX20" s="118"/>
      <c r="AY20" s="110">
        <f t="shared" si="15"/>
        <v>0</v>
      </c>
      <c r="AZ20" s="110">
        <f t="shared" si="16"/>
        <v>0</v>
      </c>
      <c r="BA20" s="110">
        <f t="shared" si="17"/>
        <v>0</v>
      </c>
      <c r="BB20" s="142">
        <v>0</v>
      </c>
      <c r="BD20" s="142">
        <f t="shared" si="18"/>
        <v>0</v>
      </c>
      <c r="BE20" s="142">
        <f t="shared" si="19"/>
        <v>0</v>
      </c>
      <c r="BF20" s="142">
        <f t="shared" si="20"/>
        <v>0</v>
      </c>
      <c r="BG20" s="142">
        <f t="shared" si="21"/>
        <v>0</v>
      </c>
      <c r="BH20" s="110">
        <v>0</v>
      </c>
      <c r="BI20" s="110">
        <v>0</v>
      </c>
      <c r="BL20" s="110">
        <f t="shared" si="1"/>
        <v>0</v>
      </c>
      <c r="BM20" s="110">
        <f t="shared" si="22"/>
        <v>0</v>
      </c>
      <c r="BN20" s="110">
        <f t="shared" si="23"/>
        <v>0</v>
      </c>
      <c r="BP20" s="129"/>
      <c r="BQ20" s="110">
        <f t="shared" si="24"/>
        <v>0</v>
      </c>
      <c r="BR20" s="110">
        <f t="shared" si="25"/>
        <v>0</v>
      </c>
      <c r="BS20" s="110">
        <f t="shared" si="26"/>
        <v>0</v>
      </c>
      <c r="BT20" s="110">
        <f t="shared" si="27"/>
        <v>0</v>
      </c>
      <c r="BU20" s="110">
        <f t="shared" si="43"/>
        <v>0</v>
      </c>
      <c r="BV20" s="110">
        <f t="shared" si="44"/>
        <v>0</v>
      </c>
      <c r="CA20" s="110">
        <f t="shared" si="29"/>
        <v>0</v>
      </c>
      <c r="CB20" s="110">
        <f t="shared" si="30"/>
        <v>0</v>
      </c>
    </row>
    <row r="21" spans="1:80" ht="18" x14ac:dyDescent="0.3">
      <c r="A21" s="13">
        <v>13</v>
      </c>
      <c r="B21" s="13"/>
      <c r="C21" s="14"/>
      <c r="D21" s="15" t="s">
        <v>34</v>
      </c>
      <c r="E21" s="16"/>
      <c r="F21" s="82">
        <v>0</v>
      </c>
      <c r="G21" s="82">
        <v>0</v>
      </c>
      <c r="H21" s="82">
        <v>0</v>
      </c>
      <c r="I21" s="17">
        <v>0</v>
      </c>
      <c r="J21" s="87">
        <v>0</v>
      </c>
      <c r="K21" s="88">
        <v>0</v>
      </c>
      <c r="L21" s="88">
        <v>0</v>
      </c>
      <c r="M21" s="88">
        <f t="shared" si="45"/>
        <v>0</v>
      </c>
      <c r="N21" s="88">
        <v>0</v>
      </c>
      <c r="O21" s="88">
        <v>0</v>
      </c>
      <c r="P21" s="88">
        <v>0</v>
      </c>
      <c r="Q21" s="88">
        <f t="shared" si="41"/>
        <v>0</v>
      </c>
      <c r="R21" s="88">
        <f t="shared" si="42"/>
        <v>0</v>
      </c>
      <c r="S21" s="88">
        <v>0</v>
      </c>
      <c r="V21" s="17">
        <f t="shared" si="46"/>
        <v>0</v>
      </c>
      <c r="W21" s="17">
        <f t="shared" si="47"/>
        <v>0</v>
      </c>
      <c r="X21" s="110">
        <f t="shared" si="2"/>
        <v>0</v>
      </c>
      <c r="Y21" s="110">
        <f t="shared" si="3"/>
        <v>0</v>
      </c>
      <c r="Z21" s="110">
        <v>0</v>
      </c>
      <c r="AA21" s="110"/>
      <c r="AB21" s="110">
        <f t="shared" si="4"/>
        <v>0</v>
      </c>
      <c r="AC21" s="111">
        <f t="shared" si="5"/>
        <v>0</v>
      </c>
      <c r="AD21" s="110">
        <f t="shared" si="48"/>
        <v>0</v>
      </c>
      <c r="AE21" s="110">
        <f t="shared" si="49"/>
        <v>0</v>
      </c>
      <c r="AF21" s="110">
        <f t="shared" si="6"/>
        <v>0</v>
      </c>
      <c r="AG21" s="110">
        <f t="shared" si="7"/>
        <v>0</v>
      </c>
      <c r="AH21" s="110">
        <f t="shared" si="33"/>
        <v>0</v>
      </c>
      <c r="AI21" s="129">
        <f t="shared" si="8"/>
        <v>0</v>
      </c>
      <c r="AJ21" s="110">
        <f t="shared" si="9"/>
        <v>0</v>
      </c>
      <c r="AM21" s="110">
        <f t="shared" si="10"/>
        <v>0</v>
      </c>
      <c r="AN21" s="110">
        <f t="shared" si="11"/>
        <v>0</v>
      </c>
      <c r="AQ21" s="118">
        <f t="shared" si="12"/>
        <v>0</v>
      </c>
      <c r="AR21" s="118">
        <f t="shared" si="13"/>
        <v>0</v>
      </c>
      <c r="AS21" s="118"/>
      <c r="AT21" s="118"/>
      <c r="AU21" s="118">
        <f t="shared" si="0"/>
        <v>0</v>
      </c>
      <c r="AV21" s="118">
        <f t="shared" si="14"/>
        <v>0</v>
      </c>
      <c r="AW21" s="118"/>
      <c r="AX21" s="118"/>
      <c r="AY21" s="110">
        <f t="shared" si="15"/>
        <v>0</v>
      </c>
      <c r="AZ21" s="110">
        <f t="shared" si="16"/>
        <v>0</v>
      </c>
      <c r="BA21" s="110">
        <f t="shared" si="17"/>
        <v>0</v>
      </c>
      <c r="BB21" s="142">
        <v>0</v>
      </c>
      <c r="BD21" s="142">
        <f t="shared" si="18"/>
        <v>0</v>
      </c>
      <c r="BE21" s="142">
        <f t="shared" si="19"/>
        <v>0</v>
      </c>
      <c r="BF21" s="142">
        <f t="shared" si="20"/>
        <v>0</v>
      </c>
      <c r="BG21" s="142">
        <f t="shared" si="21"/>
        <v>0</v>
      </c>
      <c r="BH21" s="110">
        <v>0</v>
      </c>
      <c r="BI21" s="110">
        <v>0</v>
      </c>
      <c r="BL21" s="110">
        <f t="shared" si="1"/>
        <v>0</v>
      </c>
      <c r="BM21" s="110">
        <f t="shared" si="22"/>
        <v>0</v>
      </c>
      <c r="BN21" s="110">
        <f t="shared" si="23"/>
        <v>0</v>
      </c>
      <c r="BP21" s="129"/>
      <c r="BQ21" s="110">
        <f t="shared" si="24"/>
        <v>0</v>
      </c>
      <c r="BR21" s="110">
        <f t="shared" si="25"/>
        <v>0</v>
      </c>
      <c r="BS21" s="110">
        <f t="shared" si="26"/>
        <v>0</v>
      </c>
      <c r="BT21" s="110">
        <f t="shared" si="27"/>
        <v>0</v>
      </c>
      <c r="BU21" s="110">
        <f t="shared" si="43"/>
        <v>0</v>
      </c>
      <c r="BV21" s="110">
        <f t="shared" si="44"/>
        <v>0</v>
      </c>
      <c r="CA21" s="110">
        <f t="shared" si="29"/>
        <v>0</v>
      </c>
      <c r="CB21" s="110">
        <f t="shared" si="30"/>
        <v>0</v>
      </c>
    </row>
    <row r="22" spans="1:80" ht="18" x14ac:dyDescent="0.3">
      <c r="A22" s="13">
        <v>49</v>
      </c>
      <c r="B22" s="13"/>
      <c r="C22" s="14"/>
      <c r="D22" s="15" t="s">
        <v>35</v>
      </c>
      <c r="E22" s="16"/>
      <c r="F22" s="82">
        <v>329.84</v>
      </c>
      <c r="G22" s="82">
        <v>0</v>
      </c>
      <c r="H22" s="82">
        <v>329.84</v>
      </c>
      <c r="I22" s="17">
        <v>0</v>
      </c>
      <c r="J22" s="87">
        <v>351.34</v>
      </c>
      <c r="K22" s="88">
        <v>0</v>
      </c>
      <c r="L22" s="88">
        <v>0</v>
      </c>
      <c r="M22" s="88">
        <f t="shared" si="45"/>
        <v>351.34</v>
      </c>
      <c r="N22" s="88">
        <v>80</v>
      </c>
      <c r="O22" s="88">
        <v>0</v>
      </c>
      <c r="P22" s="88">
        <v>0</v>
      </c>
      <c r="Q22" s="88">
        <f t="shared" si="41"/>
        <v>80</v>
      </c>
      <c r="R22" s="88">
        <f t="shared" si="42"/>
        <v>431.34</v>
      </c>
      <c r="S22" s="88">
        <v>0</v>
      </c>
      <c r="V22" s="17">
        <f t="shared" si="46"/>
        <v>349.07</v>
      </c>
      <c r="W22" s="17">
        <f t="shared" si="47"/>
        <v>0</v>
      </c>
      <c r="X22" s="110">
        <f t="shared" si="2"/>
        <v>82.269999999999982</v>
      </c>
      <c r="Y22" s="110">
        <f t="shared" si="3"/>
        <v>0</v>
      </c>
      <c r="Z22" s="110">
        <v>289.07</v>
      </c>
      <c r="AA22" s="110">
        <v>60</v>
      </c>
      <c r="AB22" s="110">
        <f t="shared" si="4"/>
        <v>349.07</v>
      </c>
      <c r="AC22" s="111">
        <f t="shared" si="5"/>
        <v>0</v>
      </c>
      <c r="AD22" s="110">
        <f t="shared" si="48"/>
        <v>349.07</v>
      </c>
      <c r="AE22" s="110">
        <f t="shared" si="49"/>
        <v>0</v>
      </c>
      <c r="AF22" s="110">
        <f t="shared" si="6"/>
        <v>0</v>
      </c>
      <c r="AG22" s="110">
        <f t="shared" si="7"/>
        <v>87</v>
      </c>
      <c r="AH22" s="110">
        <f t="shared" si="33"/>
        <v>0</v>
      </c>
      <c r="AI22" s="129">
        <f t="shared" si="8"/>
        <v>29</v>
      </c>
      <c r="AJ22" s="110">
        <f t="shared" si="9"/>
        <v>0</v>
      </c>
      <c r="AM22" s="110">
        <f t="shared" si="10"/>
        <v>87.27</v>
      </c>
      <c r="AN22" s="110">
        <f t="shared" si="11"/>
        <v>0</v>
      </c>
      <c r="AQ22" s="110">
        <f t="shared" si="12"/>
        <v>174.26999999999998</v>
      </c>
      <c r="AR22" s="110">
        <f t="shared" si="13"/>
        <v>0</v>
      </c>
      <c r="AU22" s="110">
        <f t="shared" si="0"/>
        <v>87.27</v>
      </c>
      <c r="AV22" s="110">
        <f t="shared" si="14"/>
        <v>0</v>
      </c>
      <c r="AY22" s="110">
        <f t="shared" si="15"/>
        <v>290.53999999999996</v>
      </c>
      <c r="AZ22" s="110">
        <f t="shared" si="16"/>
        <v>0</v>
      </c>
      <c r="BA22" s="110">
        <f t="shared" si="17"/>
        <v>290.53999999999996</v>
      </c>
      <c r="BB22" s="142">
        <v>290.54000000000002</v>
      </c>
      <c r="BD22" s="142">
        <f t="shared" si="18"/>
        <v>0</v>
      </c>
      <c r="BE22" s="142">
        <f t="shared" si="19"/>
        <v>0</v>
      </c>
      <c r="BF22" s="142">
        <f t="shared" si="20"/>
        <v>58.11</v>
      </c>
      <c r="BG22" s="142">
        <f t="shared" si="21"/>
        <v>0</v>
      </c>
      <c r="BH22" s="110">
        <v>29.06</v>
      </c>
      <c r="BI22" s="110">
        <v>0</v>
      </c>
      <c r="BL22" s="110">
        <f t="shared" si="1"/>
        <v>319.59999999999997</v>
      </c>
      <c r="BM22" s="110">
        <f t="shared" si="22"/>
        <v>0</v>
      </c>
      <c r="BN22" s="110">
        <f t="shared" si="23"/>
        <v>319.59999999999997</v>
      </c>
      <c r="BO22" s="110">
        <v>290.54000000000002</v>
      </c>
      <c r="BP22" s="129"/>
      <c r="BQ22" s="110">
        <f t="shared" si="24"/>
        <v>29.059999999999945</v>
      </c>
      <c r="BR22" s="110">
        <f t="shared" si="25"/>
        <v>0</v>
      </c>
      <c r="BS22" s="110">
        <f t="shared" si="26"/>
        <v>26.41</v>
      </c>
      <c r="BT22" s="110">
        <f t="shared" si="27"/>
        <v>0</v>
      </c>
      <c r="BU22" s="110">
        <v>0</v>
      </c>
      <c r="BV22" s="110">
        <f t="shared" si="44"/>
        <v>0</v>
      </c>
      <c r="BW22" s="111">
        <v>29.47</v>
      </c>
      <c r="CA22" s="110">
        <f t="shared" si="29"/>
        <v>349.06999999999994</v>
      </c>
      <c r="CB22" s="110">
        <f t="shared" si="30"/>
        <v>0</v>
      </c>
    </row>
    <row r="23" spans="1:80" ht="18" x14ac:dyDescent="0.3">
      <c r="A23" s="13">
        <v>14</v>
      </c>
      <c r="B23" s="13"/>
      <c r="C23" s="14"/>
      <c r="D23" s="15" t="s">
        <v>36</v>
      </c>
      <c r="E23" s="16"/>
      <c r="F23" s="82">
        <v>0</v>
      </c>
      <c r="G23" s="82">
        <v>0</v>
      </c>
      <c r="H23" s="82">
        <v>0</v>
      </c>
      <c r="I23" s="17">
        <v>0</v>
      </c>
      <c r="J23" s="87">
        <v>484</v>
      </c>
      <c r="K23" s="88">
        <v>0</v>
      </c>
      <c r="L23" s="88">
        <v>0</v>
      </c>
      <c r="M23" s="88">
        <f t="shared" si="45"/>
        <v>484</v>
      </c>
      <c r="N23" s="88">
        <v>0</v>
      </c>
      <c r="O23" s="88">
        <v>0</v>
      </c>
      <c r="P23" s="88">
        <v>0</v>
      </c>
      <c r="Q23" s="88">
        <f t="shared" si="41"/>
        <v>0</v>
      </c>
      <c r="R23" s="88">
        <f t="shared" si="42"/>
        <v>484</v>
      </c>
      <c r="S23" s="88">
        <v>0</v>
      </c>
      <c r="V23" s="17">
        <f t="shared" si="46"/>
        <v>0</v>
      </c>
      <c r="W23" s="17">
        <f t="shared" si="47"/>
        <v>0</v>
      </c>
      <c r="X23" s="110">
        <f t="shared" si="2"/>
        <v>484</v>
      </c>
      <c r="Y23" s="110">
        <f t="shared" si="3"/>
        <v>0</v>
      </c>
      <c r="Z23" s="110">
        <v>0</v>
      </c>
      <c r="AA23" s="110"/>
      <c r="AB23" s="110">
        <f t="shared" si="4"/>
        <v>0</v>
      </c>
      <c r="AC23" s="111">
        <f t="shared" si="5"/>
        <v>0</v>
      </c>
      <c r="AD23" s="114">
        <f t="shared" si="48"/>
        <v>0</v>
      </c>
      <c r="AE23" s="110">
        <f t="shared" si="49"/>
        <v>0</v>
      </c>
      <c r="AF23" s="110">
        <f t="shared" si="6"/>
        <v>0</v>
      </c>
      <c r="AG23" s="110">
        <f t="shared" si="7"/>
        <v>0</v>
      </c>
      <c r="AH23" s="110">
        <f t="shared" si="33"/>
        <v>0</v>
      </c>
      <c r="AI23" s="129">
        <f t="shared" si="8"/>
        <v>0</v>
      </c>
      <c r="AJ23" s="110">
        <f t="shared" si="9"/>
        <v>0</v>
      </c>
      <c r="AM23" s="110">
        <f t="shared" si="10"/>
        <v>0</v>
      </c>
      <c r="AN23" s="110">
        <f t="shared" si="11"/>
        <v>0</v>
      </c>
      <c r="AQ23" s="110">
        <f t="shared" si="12"/>
        <v>0</v>
      </c>
      <c r="AR23" s="110">
        <f t="shared" si="13"/>
        <v>0</v>
      </c>
      <c r="AU23" s="110">
        <f t="shared" si="0"/>
        <v>0</v>
      </c>
      <c r="AV23" s="110">
        <f t="shared" si="14"/>
        <v>0</v>
      </c>
      <c r="AY23" s="110">
        <f t="shared" si="15"/>
        <v>0</v>
      </c>
      <c r="AZ23" s="110">
        <f t="shared" si="16"/>
        <v>0</v>
      </c>
      <c r="BA23" s="110">
        <f t="shared" si="17"/>
        <v>0</v>
      </c>
      <c r="BB23" s="142">
        <v>0</v>
      </c>
      <c r="BD23" s="142">
        <f t="shared" si="18"/>
        <v>0</v>
      </c>
      <c r="BE23" s="142">
        <f t="shared" si="19"/>
        <v>0</v>
      </c>
      <c r="BF23" s="142">
        <f t="shared" si="20"/>
        <v>0</v>
      </c>
      <c r="BG23" s="142">
        <f t="shared" si="21"/>
        <v>0</v>
      </c>
      <c r="BH23" s="110">
        <v>0</v>
      </c>
      <c r="BI23" s="110">
        <v>0</v>
      </c>
      <c r="BL23" s="110">
        <f t="shared" si="1"/>
        <v>0</v>
      </c>
      <c r="BM23" s="110">
        <f t="shared" si="22"/>
        <v>0</v>
      </c>
      <c r="BN23" s="110">
        <f t="shared" si="23"/>
        <v>0</v>
      </c>
      <c r="BP23" s="129"/>
      <c r="BQ23" s="110">
        <f t="shared" si="24"/>
        <v>0</v>
      </c>
      <c r="BR23" s="110">
        <f t="shared" si="25"/>
        <v>0</v>
      </c>
      <c r="BS23" s="110">
        <f t="shared" si="26"/>
        <v>0</v>
      </c>
      <c r="BT23" s="110">
        <f t="shared" si="27"/>
        <v>0</v>
      </c>
      <c r="BU23" s="110">
        <f t="shared" si="43"/>
        <v>0</v>
      </c>
      <c r="BV23" s="110">
        <f t="shared" si="44"/>
        <v>0</v>
      </c>
      <c r="CA23" s="110">
        <f t="shared" si="29"/>
        <v>0</v>
      </c>
      <c r="CB23" s="110">
        <f t="shared" si="30"/>
        <v>0</v>
      </c>
    </row>
    <row r="24" spans="1:80" ht="18" x14ac:dyDescent="0.3">
      <c r="A24" s="33"/>
      <c r="B24" s="33"/>
      <c r="C24" s="34"/>
      <c r="D24" s="35" t="s">
        <v>37</v>
      </c>
      <c r="E24" s="36"/>
      <c r="F24" s="43">
        <v>22437.200000000001</v>
      </c>
      <c r="G24" s="43">
        <v>18901.61</v>
      </c>
      <c r="H24" s="43">
        <v>22596.2</v>
      </c>
      <c r="I24" s="43">
        <v>18901.61</v>
      </c>
      <c r="J24" s="93">
        <f t="shared" ref="J24:AB24" si="50">+J17+J18+J19+J20+J21+J22+J23</f>
        <v>24692.51</v>
      </c>
      <c r="K24" s="93">
        <f t="shared" si="50"/>
        <v>0</v>
      </c>
      <c r="L24" s="93">
        <f t="shared" si="50"/>
        <v>0</v>
      </c>
      <c r="M24" s="93">
        <f t="shared" si="50"/>
        <v>24692.51</v>
      </c>
      <c r="N24" s="93">
        <f t="shared" si="50"/>
        <v>126.47999999999999</v>
      </c>
      <c r="O24" s="93">
        <f t="shared" si="50"/>
        <v>0</v>
      </c>
      <c r="P24" s="93">
        <f t="shared" si="50"/>
        <v>0</v>
      </c>
      <c r="Q24" s="93">
        <f t="shared" si="50"/>
        <v>126.47999999999999</v>
      </c>
      <c r="R24" s="93">
        <f t="shared" si="50"/>
        <v>24818.989999999998</v>
      </c>
      <c r="S24" s="93">
        <f t="shared" si="50"/>
        <v>21000</v>
      </c>
      <c r="T24" s="93">
        <f t="shared" si="50"/>
        <v>0</v>
      </c>
      <c r="U24" s="93">
        <f t="shared" si="50"/>
        <v>0</v>
      </c>
      <c r="V24" s="93">
        <f t="shared" si="50"/>
        <v>23913.549999999996</v>
      </c>
      <c r="W24" s="93">
        <f t="shared" si="50"/>
        <v>19519.689999999999</v>
      </c>
      <c r="X24" s="93">
        <f t="shared" si="50"/>
        <v>905.44000000000165</v>
      </c>
      <c r="Y24" s="93">
        <f t="shared" si="50"/>
        <v>1480.3100000000013</v>
      </c>
      <c r="Z24" s="93">
        <f t="shared" si="50"/>
        <v>23813.549999999996</v>
      </c>
      <c r="AA24" s="93">
        <f t="shared" si="50"/>
        <v>100</v>
      </c>
      <c r="AB24" s="93">
        <f t="shared" si="50"/>
        <v>23913.549999999996</v>
      </c>
      <c r="AC24" s="111">
        <f t="shared" si="5"/>
        <v>0</v>
      </c>
      <c r="AD24" s="43">
        <f t="shared" ref="AD24:CB24" si="51">+AD17+AD18+AD19+AD20+AD21+AD22+AD23</f>
        <v>23913.549999999996</v>
      </c>
      <c r="AE24" s="43">
        <f t="shared" si="51"/>
        <v>20019.689999999999</v>
      </c>
      <c r="AF24" s="43">
        <f t="shared" si="51"/>
        <v>18946.2</v>
      </c>
      <c r="AG24" s="43">
        <f t="shared" si="51"/>
        <v>5979</v>
      </c>
      <c r="AH24" s="43">
        <f t="shared" si="51"/>
        <v>5005</v>
      </c>
      <c r="AI24" s="131">
        <f t="shared" si="51"/>
        <v>1993</v>
      </c>
      <c r="AJ24" s="43">
        <f t="shared" si="51"/>
        <v>1668</v>
      </c>
      <c r="AK24" s="43">
        <f t="shared" si="51"/>
        <v>0</v>
      </c>
      <c r="AL24" s="43">
        <f t="shared" si="51"/>
        <v>0</v>
      </c>
      <c r="AM24" s="43">
        <f t="shared" si="51"/>
        <v>5978.39</v>
      </c>
      <c r="AN24" s="43">
        <f t="shared" si="51"/>
        <v>4874.79</v>
      </c>
      <c r="AO24" s="43">
        <f t="shared" si="51"/>
        <v>0</v>
      </c>
      <c r="AP24" s="43">
        <f t="shared" si="51"/>
        <v>0</v>
      </c>
      <c r="AQ24" s="43">
        <f t="shared" si="51"/>
        <v>11957.390000000001</v>
      </c>
      <c r="AR24" s="43">
        <f t="shared" si="51"/>
        <v>9879.7900000000009</v>
      </c>
      <c r="AS24" s="43">
        <f t="shared" si="51"/>
        <v>300</v>
      </c>
      <c r="AT24" s="43">
        <f t="shared" si="51"/>
        <v>0</v>
      </c>
      <c r="AU24" s="43">
        <f t="shared" si="51"/>
        <v>6734.6</v>
      </c>
      <c r="AV24" s="43">
        <f t="shared" si="51"/>
        <v>7000</v>
      </c>
      <c r="AW24" s="43">
        <f t="shared" si="51"/>
        <v>0</v>
      </c>
      <c r="AX24" s="43">
        <f t="shared" si="51"/>
        <v>0</v>
      </c>
      <c r="AY24" s="43">
        <f t="shared" si="51"/>
        <v>20984.99</v>
      </c>
      <c r="AZ24" s="43">
        <f t="shared" si="51"/>
        <v>18547.79</v>
      </c>
      <c r="BA24" s="43">
        <f t="shared" si="51"/>
        <v>39532.780000000006</v>
      </c>
      <c r="BB24" s="43">
        <f t="shared" si="51"/>
        <v>19892.140000000003</v>
      </c>
      <c r="BC24" s="43">
        <f t="shared" si="51"/>
        <v>18544.14</v>
      </c>
      <c r="BD24" s="43">
        <f t="shared" si="51"/>
        <v>1092.8500000000004</v>
      </c>
      <c r="BE24" s="43">
        <f t="shared" si="51"/>
        <v>3.6500000000014552</v>
      </c>
      <c r="BF24" s="43">
        <f t="shared" si="51"/>
        <v>3978.4300000000003</v>
      </c>
      <c r="BG24" s="131">
        <f t="shared" si="51"/>
        <v>3708.83</v>
      </c>
      <c r="BH24" s="131">
        <f t="shared" si="51"/>
        <v>2494.0099999999998</v>
      </c>
      <c r="BI24" s="131">
        <f t="shared" si="51"/>
        <v>2000</v>
      </c>
      <c r="BJ24" s="131">
        <f t="shared" si="51"/>
        <v>0</v>
      </c>
      <c r="BK24" s="131">
        <f t="shared" si="51"/>
        <v>0</v>
      </c>
      <c r="BL24" s="131">
        <f t="shared" si="51"/>
        <v>23479</v>
      </c>
      <c r="BM24" s="131">
        <f t="shared" si="51"/>
        <v>20547.79</v>
      </c>
      <c r="BN24" s="131">
        <f t="shared" si="51"/>
        <v>44026.79</v>
      </c>
      <c r="BO24" s="131">
        <f t="shared" si="51"/>
        <v>22179.25</v>
      </c>
      <c r="BP24" s="131">
        <f t="shared" si="51"/>
        <v>20023.29</v>
      </c>
      <c r="BQ24" s="43">
        <f t="shared" si="51"/>
        <v>1299.7500000000016</v>
      </c>
      <c r="BR24" s="43">
        <f t="shared" si="51"/>
        <v>524.5</v>
      </c>
      <c r="BS24" s="43">
        <f t="shared" si="51"/>
        <v>2016.3</v>
      </c>
      <c r="BT24" s="43">
        <f t="shared" si="51"/>
        <v>1820.3</v>
      </c>
      <c r="BU24" s="43">
        <f t="shared" si="51"/>
        <v>716.55000000000007</v>
      </c>
      <c r="BV24" s="43">
        <f t="shared" si="51"/>
        <v>1245.8</v>
      </c>
      <c r="BW24" s="43">
        <f t="shared" si="51"/>
        <v>1069.47</v>
      </c>
      <c r="BX24" s="43">
        <f t="shared" si="51"/>
        <v>404</v>
      </c>
      <c r="BY24" s="43">
        <f t="shared" si="51"/>
        <v>0</v>
      </c>
      <c r="BZ24" s="43">
        <f t="shared" si="51"/>
        <v>0</v>
      </c>
      <c r="CA24" s="43">
        <f t="shared" si="51"/>
        <v>25265.02</v>
      </c>
      <c r="CB24" s="43">
        <f t="shared" si="51"/>
        <v>22197.59</v>
      </c>
    </row>
    <row r="25" spans="1:80" ht="18" x14ac:dyDescent="0.3">
      <c r="A25" s="13">
        <v>15</v>
      </c>
      <c r="B25" s="13"/>
      <c r="C25" s="14"/>
      <c r="D25" s="15" t="s">
        <v>38</v>
      </c>
      <c r="E25" s="16"/>
      <c r="F25" s="82">
        <v>166.89</v>
      </c>
      <c r="G25" s="82">
        <v>0</v>
      </c>
      <c r="H25" s="82">
        <v>166.89</v>
      </c>
      <c r="I25" s="17">
        <v>0</v>
      </c>
      <c r="J25" s="87">
        <v>689</v>
      </c>
      <c r="K25" s="88">
        <v>0</v>
      </c>
      <c r="L25" s="88">
        <v>0</v>
      </c>
      <c r="M25" s="88">
        <f t="shared" si="45"/>
        <v>689</v>
      </c>
      <c r="N25" s="88"/>
      <c r="O25" s="88"/>
      <c r="P25" s="88"/>
      <c r="Q25" s="88">
        <f t="shared" si="41"/>
        <v>0</v>
      </c>
      <c r="R25" s="88">
        <f t="shared" si="42"/>
        <v>689</v>
      </c>
      <c r="S25" s="88">
        <v>0</v>
      </c>
      <c r="V25" s="17">
        <f>ROUND(H25*1.0583,2)</f>
        <v>176.62</v>
      </c>
      <c r="W25" s="17">
        <f>ROUND(I25*1.0327,2)</f>
        <v>0</v>
      </c>
      <c r="X25" s="110">
        <f t="shared" si="2"/>
        <v>512.38</v>
      </c>
      <c r="Y25" s="110">
        <f t="shared" si="3"/>
        <v>0</v>
      </c>
      <c r="Z25" s="110">
        <v>500</v>
      </c>
      <c r="AA25" s="110"/>
      <c r="AB25" s="110">
        <f t="shared" si="4"/>
        <v>500</v>
      </c>
      <c r="AC25" s="111">
        <f t="shared" si="5"/>
        <v>0</v>
      </c>
      <c r="AD25" s="115">
        <v>500</v>
      </c>
      <c r="AE25" s="110">
        <f>IF(Y25&gt;0,W25,S25)</f>
        <v>0</v>
      </c>
      <c r="AF25" s="110">
        <f t="shared" si="6"/>
        <v>0</v>
      </c>
      <c r="AG25" s="110">
        <f t="shared" si="7"/>
        <v>125</v>
      </c>
      <c r="AH25" s="110">
        <f t="shared" si="33"/>
        <v>0</v>
      </c>
      <c r="AI25" s="129">
        <f t="shared" si="8"/>
        <v>42</v>
      </c>
      <c r="AJ25" s="110">
        <f t="shared" si="9"/>
        <v>0</v>
      </c>
      <c r="AM25" s="110">
        <f t="shared" si="10"/>
        <v>125</v>
      </c>
      <c r="AN25" s="110">
        <f t="shared" si="11"/>
        <v>0</v>
      </c>
      <c r="AQ25" s="110">
        <f t="shared" si="12"/>
        <v>250</v>
      </c>
      <c r="AR25" s="110">
        <f t="shared" si="13"/>
        <v>0</v>
      </c>
      <c r="AU25" s="110">
        <f t="shared" si="0"/>
        <v>125</v>
      </c>
      <c r="AV25" s="110">
        <f t="shared" si="14"/>
        <v>0</v>
      </c>
      <c r="AY25" s="110">
        <f t="shared" si="15"/>
        <v>417</v>
      </c>
      <c r="AZ25" s="110">
        <f t="shared" si="16"/>
        <v>0</v>
      </c>
      <c r="BA25" s="110">
        <f t="shared" si="17"/>
        <v>417</v>
      </c>
      <c r="BB25" s="142">
        <v>252.44</v>
      </c>
      <c r="BD25" s="142">
        <f t="shared" si="18"/>
        <v>164.56</v>
      </c>
      <c r="BE25" s="142">
        <f t="shared" si="19"/>
        <v>0</v>
      </c>
      <c r="BF25" s="142">
        <f t="shared" si="20"/>
        <v>50.49</v>
      </c>
      <c r="BG25" s="142">
        <f t="shared" si="21"/>
        <v>0</v>
      </c>
      <c r="BH25" s="110">
        <v>0</v>
      </c>
      <c r="BI25" s="110">
        <v>0</v>
      </c>
      <c r="BL25" s="110">
        <f t="shared" si="1"/>
        <v>417</v>
      </c>
      <c r="BM25" s="110">
        <f t="shared" si="22"/>
        <v>0</v>
      </c>
      <c r="BN25" s="110">
        <f t="shared" si="23"/>
        <v>417</v>
      </c>
      <c r="BO25" s="168">
        <v>215.75</v>
      </c>
      <c r="BP25" s="129"/>
      <c r="BQ25" s="110">
        <f t="shared" si="24"/>
        <v>201.25</v>
      </c>
      <c r="BR25" s="110">
        <f t="shared" si="25"/>
        <v>0</v>
      </c>
      <c r="BS25" s="110">
        <f t="shared" si="26"/>
        <v>19.61</v>
      </c>
      <c r="BT25" s="110">
        <f t="shared" si="27"/>
        <v>0</v>
      </c>
      <c r="BU25" s="110">
        <v>0</v>
      </c>
      <c r="BV25" s="110">
        <f t="shared" si="44"/>
        <v>0</v>
      </c>
      <c r="CA25" s="110">
        <f t="shared" si="29"/>
        <v>417</v>
      </c>
      <c r="CB25" s="110">
        <f t="shared" si="30"/>
        <v>0</v>
      </c>
    </row>
    <row r="26" spans="1:80" ht="18" x14ac:dyDescent="0.3">
      <c r="A26" s="18"/>
      <c r="B26" s="18" t="s">
        <v>39</v>
      </c>
      <c r="C26" s="19" t="s">
        <v>40</v>
      </c>
      <c r="D26" s="20" t="s">
        <v>30</v>
      </c>
      <c r="E26" s="21" t="s">
        <v>41</v>
      </c>
      <c r="F26" s="22">
        <v>22604.09</v>
      </c>
      <c r="G26" s="22">
        <v>18901.61</v>
      </c>
      <c r="H26" s="22">
        <v>22763.09</v>
      </c>
      <c r="I26" s="22">
        <v>18901.61</v>
      </c>
      <c r="J26" s="89">
        <f t="shared" ref="J26:AA26" si="52">+J24+J25</f>
        <v>25381.51</v>
      </c>
      <c r="K26" s="89">
        <f t="shared" si="52"/>
        <v>0</v>
      </c>
      <c r="L26" s="89">
        <f t="shared" si="52"/>
        <v>0</v>
      </c>
      <c r="M26" s="89">
        <f t="shared" si="52"/>
        <v>25381.51</v>
      </c>
      <c r="N26" s="89">
        <f t="shared" si="52"/>
        <v>126.47999999999999</v>
      </c>
      <c r="O26" s="89">
        <f t="shared" si="52"/>
        <v>0</v>
      </c>
      <c r="P26" s="89">
        <f t="shared" si="52"/>
        <v>0</v>
      </c>
      <c r="Q26" s="89">
        <f t="shared" si="52"/>
        <v>126.47999999999999</v>
      </c>
      <c r="R26" s="89">
        <f t="shared" si="52"/>
        <v>25507.989999999998</v>
      </c>
      <c r="S26" s="89">
        <f t="shared" si="52"/>
        <v>21000</v>
      </c>
      <c r="T26" s="89">
        <f t="shared" si="52"/>
        <v>0</v>
      </c>
      <c r="U26" s="89">
        <f t="shared" si="52"/>
        <v>0</v>
      </c>
      <c r="V26" s="89">
        <f t="shared" si="52"/>
        <v>24090.169999999995</v>
      </c>
      <c r="W26" s="89">
        <f t="shared" si="52"/>
        <v>19519.689999999999</v>
      </c>
      <c r="X26" s="89">
        <f t="shared" si="52"/>
        <v>1417.8200000000015</v>
      </c>
      <c r="Y26" s="89">
        <f t="shared" si="52"/>
        <v>1480.3100000000013</v>
      </c>
      <c r="Z26" s="89">
        <f t="shared" si="52"/>
        <v>24313.549999999996</v>
      </c>
      <c r="AA26" s="89">
        <f t="shared" si="52"/>
        <v>100</v>
      </c>
      <c r="AB26" s="22">
        <f t="shared" si="4"/>
        <v>24413.549999999996</v>
      </c>
      <c r="AC26" s="111">
        <f t="shared" si="5"/>
        <v>0</v>
      </c>
      <c r="AD26" s="22">
        <f t="shared" ref="AD26:CB26" si="53">+AD24+AD25</f>
        <v>24413.549999999996</v>
      </c>
      <c r="AE26" s="22">
        <f t="shared" si="53"/>
        <v>20019.689999999999</v>
      </c>
      <c r="AF26" s="22">
        <f t="shared" si="53"/>
        <v>18946.2</v>
      </c>
      <c r="AG26" s="22">
        <f t="shared" si="53"/>
        <v>6104</v>
      </c>
      <c r="AH26" s="22">
        <f t="shared" si="53"/>
        <v>5005</v>
      </c>
      <c r="AI26" s="120">
        <f t="shared" si="53"/>
        <v>2035</v>
      </c>
      <c r="AJ26" s="22">
        <f t="shared" si="53"/>
        <v>1668</v>
      </c>
      <c r="AK26" s="22">
        <f t="shared" si="53"/>
        <v>0</v>
      </c>
      <c r="AL26" s="22">
        <f t="shared" si="53"/>
        <v>0</v>
      </c>
      <c r="AM26" s="22">
        <f t="shared" si="53"/>
        <v>6103.39</v>
      </c>
      <c r="AN26" s="22">
        <f t="shared" si="53"/>
        <v>4874.79</v>
      </c>
      <c r="AO26" s="22">
        <f t="shared" si="53"/>
        <v>0</v>
      </c>
      <c r="AP26" s="22">
        <f t="shared" si="53"/>
        <v>0</v>
      </c>
      <c r="AQ26" s="22">
        <f t="shared" si="53"/>
        <v>12207.390000000001</v>
      </c>
      <c r="AR26" s="22">
        <f t="shared" si="53"/>
        <v>9879.7900000000009</v>
      </c>
      <c r="AS26" s="22">
        <f t="shared" si="53"/>
        <v>300</v>
      </c>
      <c r="AT26" s="22">
        <f t="shared" si="53"/>
        <v>0</v>
      </c>
      <c r="AU26" s="22">
        <f t="shared" si="53"/>
        <v>6859.6</v>
      </c>
      <c r="AV26" s="22">
        <f t="shared" si="53"/>
        <v>7000</v>
      </c>
      <c r="AW26" s="22">
        <f t="shared" si="53"/>
        <v>0</v>
      </c>
      <c r="AX26" s="22">
        <f t="shared" si="53"/>
        <v>0</v>
      </c>
      <c r="AY26" s="22">
        <f t="shared" si="53"/>
        <v>21401.99</v>
      </c>
      <c r="AZ26" s="22">
        <f t="shared" si="53"/>
        <v>18547.79</v>
      </c>
      <c r="BA26" s="22">
        <f t="shared" si="53"/>
        <v>39949.780000000006</v>
      </c>
      <c r="BB26" s="22">
        <f t="shared" si="53"/>
        <v>20144.580000000002</v>
      </c>
      <c r="BC26" s="22">
        <f t="shared" si="53"/>
        <v>18544.14</v>
      </c>
      <c r="BD26" s="22">
        <f t="shared" si="53"/>
        <v>1257.4100000000003</v>
      </c>
      <c r="BE26" s="22">
        <f t="shared" si="53"/>
        <v>3.6500000000014552</v>
      </c>
      <c r="BF26" s="22">
        <f t="shared" si="53"/>
        <v>4028.92</v>
      </c>
      <c r="BG26" s="120">
        <f t="shared" si="53"/>
        <v>3708.83</v>
      </c>
      <c r="BH26" s="120">
        <f t="shared" si="53"/>
        <v>2494.0099999999998</v>
      </c>
      <c r="BI26" s="120">
        <f t="shared" si="53"/>
        <v>2000</v>
      </c>
      <c r="BJ26" s="120">
        <f t="shared" si="53"/>
        <v>0</v>
      </c>
      <c r="BK26" s="120">
        <f t="shared" si="53"/>
        <v>0</v>
      </c>
      <c r="BL26" s="120">
        <f t="shared" si="53"/>
        <v>23896</v>
      </c>
      <c r="BM26" s="120">
        <f t="shared" si="53"/>
        <v>20547.79</v>
      </c>
      <c r="BN26" s="120">
        <f t="shared" si="53"/>
        <v>44443.79</v>
      </c>
      <c r="BO26" s="120">
        <f t="shared" si="53"/>
        <v>22395</v>
      </c>
      <c r="BP26" s="120">
        <f t="shared" si="53"/>
        <v>20023.29</v>
      </c>
      <c r="BQ26" s="22">
        <f t="shared" si="53"/>
        <v>1501.0000000000016</v>
      </c>
      <c r="BR26" s="22">
        <f t="shared" si="53"/>
        <v>524.5</v>
      </c>
      <c r="BS26" s="22">
        <f t="shared" si="53"/>
        <v>2035.9099999999999</v>
      </c>
      <c r="BT26" s="22">
        <f t="shared" si="53"/>
        <v>1820.3</v>
      </c>
      <c r="BU26" s="22">
        <f t="shared" si="53"/>
        <v>716.55000000000007</v>
      </c>
      <c r="BV26" s="22">
        <f t="shared" si="53"/>
        <v>1245.8</v>
      </c>
      <c r="BW26" s="22">
        <f t="shared" si="53"/>
        <v>1069.47</v>
      </c>
      <c r="BX26" s="22">
        <f t="shared" si="53"/>
        <v>404</v>
      </c>
      <c r="BY26" s="22">
        <f t="shared" si="53"/>
        <v>0</v>
      </c>
      <c r="BZ26" s="22">
        <f t="shared" si="53"/>
        <v>0</v>
      </c>
      <c r="CA26" s="22">
        <f t="shared" si="53"/>
        <v>25682.02</v>
      </c>
      <c r="CB26" s="22">
        <f t="shared" si="53"/>
        <v>22197.59</v>
      </c>
    </row>
    <row r="27" spans="1:80" ht="18" x14ac:dyDescent="0.3">
      <c r="A27" s="13">
        <v>16</v>
      </c>
      <c r="B27" s="13"/>
      <c r="C27" s="14"/>
      <c r="D27" s="15" t="s">
        <v>42</v>
      </c>
      <c r="E27" s="16"/>
      <c r="F27" s="82">
        <v>3298.83</v>
      </c>
      <c r="G27" s="82">
        <v>721.8</v>
      </c>
      <c r="H27" s="82">
        <v>3298.83</v>
      </c>
      <c r="I27" s="17">
        <v>721.8</v>
      </c>
      <c r="J27" s="87">
        <v>3600</v>
      </c>
      <c r="K27" s="88">
        <v>150</v>
      </c>
      <c r="L27" s="88">
        <v>0</v>
      </c>
      <c r="M27" s="88">
        <f t="shared" si="45"/>
        <v>3750</v>
      </c>
      <c r="N27" s="88">
        <v>0</v>
      </c>
      <c r="O27" s="88">
        <v>0</v>
      </c>
      <c r="P27" s="88">
        <v>0</v>
      </c>
      <c r="Q27" s="88">
        <f t="shared" ref="Q27:Q35" si="54">N27+O27+P27</f>
        <v>0</v>
      </c>
      <c r="R27" s="88">
        <f t="shared" si="42"/>
        <v>3750</v>
      </c>
      <c r="S27" s="88">
        <v>850</v>
      </c>
      <c r="V27" s="17">
        <f>ROUND(H27*1.0583,2)</f>
        <v>3491.15</v>
      </c>
      <c r="W27" s="17">
        <f>ROUND(I27*1.0327,2)</f>
        <v>745.4</v>
      </c>
      <c r="X27" s="110">
        <f t="shared" si="2"/>
        <v>258.84999999999991</v>
      </c>
      <c r="Y27" s="110">
        <f t="shared" si="3"/>
        <v>104.60000000000002</v>
      </c>
      <c r="Z27" s="110">
        <v>3491.15</v>
      </c>
      <c r="AA27" s="110"/>
      <c r="AB27" s="110">
        <f t="shared" si="4"/>
        <v>3491.15</v>
      </c>
      <c r="AC27" s="111">
        <f t="shared" si="5"/>
        <v>0</v>
      </c>
      <c r="AD27" s="110">
        <f>IF(X27&gt;0,V27,R27)</f>
        <v>3491.15</v>
      </c>
      <c r="AE27" s="110">
        <f>IF(Y27&gt;0,W27,S27)</f>
        <v>745.4</v>
      </c>
      <c r="AF27" s="110">
        <f t="shared" si="6"/>
        <v>766.87</v>
      </c>
      <c r="AG27" s="110">
        <f t="shared" si="7"/>
        <v>873</v>
      </c>
      <c r="AH27" s="110">
        <f t="shared" si="33"/>
        <v>186</v>
      </c>
      <c r="AI27" s="129">
        <f t="shared" si="8"/>
        <v>291</v>
      </c>
      <c r="AJ27" s="110">
        <f t="shared" si="9"/>
        <v>62</v>
      </c>
      <c r="AM27" s="110">
        <f t="shared" si="10"/>
        <v>872.79</v>
      </c>
      <c r="AN27" s="110">
        <f t="shared" si="11"/>
        <v>181.5</v>
      </c>
      <c r="AQ27" s="110">
        <f t="shared" si="12"/>
        <v>1745.79</v>
      </c>
      <c r="AR27" s="110">
        <f t="shared" si="13"/>
        <v>367.5</v>
      </c>
      <c r="AU27" s="110">
        <f t="shared" si="0"/>
        <v>872.79</v>
      </c>
      <c r="AV27" s="110">
        <f t="shared" si="14"/>
        <v>186.35</v>
      </c>
      <c r="AY27" s="110">
        <f t="shared" si="15"/>
        <v>2909.58</v>
      </c>
      <c r="AZ27" s="110">
        <f t="shared" si="16"/>
        <v>615.85</v>
      </c>
      <c r="BA27" s="110">
        <f t="shared" si="17"/>
        <v>3525.43</v>
      </c>
      <c r="BB27" s="142">
        <v>2654.47</v>
      </c>
      <c r="BC27" s="142">
        <v>518.4</v>
      </c>
      <c r="BD27" s="142">
        <f t="shared" si="18"/>
        <v>255.11000000000013</v>
      </c>
      <c r="BE27" s="142">
        <f t="shared" si="19"/>
        <v>97.450000000000045</v>
      </c>
      <c r="BF27" s="142">
        <f t="shared" si="20"/>
        <v>530.89</v>
      </c>
      <c r="BG27" s="142">
        <f t="shared" si="21"/>
        <v>103.68</v>
      </c>
      <c r="BH27" s="110">
        <v>137.88999999999999</v>
      </c>
      <c r="BI27" s="110">
        <v>3.12</v>
      </c>
      <c r="BL27" s="110">
        <f t="shared" si="1"/>
        <v>3047.47</v>
      </c>
      <c r="BM27" s="110">
        <f t="shared" si="22"/>
        <v>618.97</v>
      </c>
      <c r="BN27" s="110">
        <f t="shared" si="23"/>
        <v>3666.4399999999996</v>
      </c>
      <c r="BO27" s="110">
        <v>2935.25</v>
      </c>
      <c r="BP27" s="129">
        <v>558.62</v>
      </c>
      <c r="BQ27" s="110">
        <f t="shared" si="24"/>
        <v>112.2199999999998</v>
      </c>
      <c r="BR27" s="110">
        <f t="shared" si="25"/>
        <v>60.350000000000023</v>
      </c>
      <c r="BS27" s="110">
        <f t="shared" si="26"/>
        <v>266.83999999999997</v>
      </c>
      <c r="BT27" s="110">
        <f t="shared" si="27"/>
        <v>50.78</v>
      </c>
      <c r="BU27" s="110">
        <f t="shared" si="34"/>
        <v>154.62000000000018</v>
      </c>
      <c r="BV27" s="110">
        <v>0</v>
      </c>
      <c r="BW27" s="111">
        <v>15</v>
      </c>
      <c r="BX27" s="110">
        <f>55+2.67</f>
        <v>57.67</v>
      </c>
      <c r="CA27" s="110">
        <f t="shared" si="29"/>
        <v>3217.09</v>
      </c>
      <c r="CB27" s="110">
        <f t="shared" si="30"/>
        <v>676.64</v>
      </c>
    </row>
    <row r="28" spans="1:80" ht="36" x14ac:dyDescent="0.3">
      <c r="A28" s="13">
        <v>17</v>
      </c>
      <c r="B28" s="13"/>
      <c r="C28" s="14"/>
      <c r="D28" s="15" t="s">
        <v>43</v>
      </c>
      <c r="E28" s="16"/>
      <c r="F28" s="82">
        <v>1030.97</v>
      </c>
      <c r="G28" s="82">
        <v>0</v>
      </c>
      <c r="H28" s="82">
        <v>1030.97</v>
      </c>
      <c r="I28" s="17">
        <v>0</v>
      </c>
      <c r="J28" s="87">
        <v>1250</v>
      </c>
      <c r="K28" s="88">
        <v>0</v>
      </c>
      <c r="L28" s="88">
        <v>0</v>
      </c>
      <c r="M28" s="88">
        <f t="shared" si="45"/>
        <v>1250</v>
      </c>
      <c r="N28" s="88">
        <v>0</v>
      </c>
      <c r="O28" s="88">
        <v>0</v>
      </c>
      <c r="P28" s="88">
        <v>0</v>
      </c>
      <c r="Q28" s="88">
        <f t="shared" si="54"/>
        <v>0</v>
      </c>
      <c r="R28" s="88">
        <f t="shared" si="42"/>
        <v>1250</v>
      </c>
      <c r="S28" s="88">
        <v>0</v>
      </c>
      <c r="V28" s="17">
        <f>ROUND(H28*1.0583,2)</f>
        <v>1091.08</v>
      </c>
      <c r="W28" s="17">
        <f>ROUND(I28*1.0327,2)</f>
        <v>0</v>
      </c>
      <c r="X28" s="110">
        <f t="shared" si="2"/>
        <v>158.92000000000007</v>
      </c>
      <c r="Y28" s="110">
        <f t="shared" si="3"/>
        <v>0</v>
      </c>
      <c r="Z28" s="110">
        <v>1091.08</v>
      </c>
      <c r="AA28" s="110"/>
      <c r="AB28" s="110">
        <f t="shared" si="4"/>
        <v>1091.08</v>
      </c>
      <c r="AC28" s="111">
        <f t="shared" si="5"/>
        <v>0</v>
      </c>
      <c r="AD28" s="110">
        <f>IF(X28&gt;0,V28,R28)</f>
        <v>1091.08</v>
      </c>
      <c r="AE28" s="110">
        <f>IF(Y28&gt;0,W28,S28)</f>
        <v>0</v>
      </c>
      <c r="AF28" s="110">
        <f t="shared" si="6"/>
        <v>0</v>
      </c>
      <c r="AG28" s="110">
        <f t="shared" si="7"/>
        <v>273</v>
      </c>
      <c r="AH28" s="110">
        <f t="shared" si="33"/>
        <v>0</v>
      </c>
      <c r="AI28" s="129">
        <f t="shared" si="8"/>
        <v>91</v>
      </c>
      <c r="AJ28" s="110">
        <f t="shared" si="9"/>
        <v>0</v>
      </c>
      <c r="AM28" s="110">
        <f t="shared" si="10"/>
        <v>272.77</v>
      </c>
      <c r="AN28" s="110">
        <f t="shared" si="11"/>
        <v>0</v>
      </c>
      <c r="AQ28" s="110">
        <f t="shared" si="12"/>
        <v>545.77</v>
      </c>
      <c r="AR28" s="110">
        <f t="shared" si="13"/>
        <v>0</v>
      </c>
      <c r="AU28" s="110">
        <f t="shared" si="0"/>
        <v>272.77</v>
      </c>
      <c r="AV28" s="110">
        <f t="shared" si="14"/>
        <v>0</v>
      </c>
      <c r="AY28" s="110">
        <f t="shared" si="15"/>
        <v>909.54</v>
      </c>
      <c r="AZ28" s="110">
        <f t="shared" si="16"/>
        <v>0</v>
      </c>
      <c r="BA28" s="110">
        <f t="shared" si="17"/>
        <v>909.54</v>
      </c>
      <c r="BB28" s="142">
        <v>856</v>
      </c>
      <c r="BD28" s="142">
        <f t="shared" si="18"/>
        <v>53.539999999999964</v>
      </c>
      <c r="BE28" s="142">
        <f t="shared" si="19"/>
        <v>0</v>
      </c>
      <c r="BF28" s="142">
        <f t="shared" si="20"/>
        <v>171.2</v>
      </c>
      <c r="BG28" s="142">
        <f t="shared" si="21"/>
        <v>0</v>
      </c>
      <c r="BH28" s="111">
        <v>30.23</v>
      </c>
      <c r="BI28" s="110">
        <v>0</v>
      </c>
      <c r="BL28" s="110">
        <f t="shared" si="1"/>
        <v>939.77</v>
      </c>
      <c r="BM28" s="110">
        <f t="shared" si="22"/>
        <v>0</v>
      </c>
      <c r="BN28" s="110">
        <f t="shared" si="23"/>
        <v>939.77</v>
      </c>
      <c r="BO28" s="110">
        <v>856</v>
      </c>
      <c r="BP28" s="129"/>
      <c r="BQ28" s="110">
        <f t="shared" si="24"/>
        <v>83.769999999999982</v>
      </c>
      <c r="BR28" s="110">
        <f t="shared" si="25"/>
        <v>0</v>
      </c>
      <c r="BS28" s="110">
        <f t="shared" si="26"/>
        <v>77.819999999999993</v>
      </c>
      <c r="BT28" s="110">
        <f t="shared" si="27"/>
        <v>0</v>
      </c>
      <c r="BU28" s="110">
        <v>-5.95</v>
      </c>
      <c r="BV28" s="110">
        <f t="shared" si="44"/>
        <v>0</v>
      </c>
      <c r="BW28" s="111">
        <v>4.88</v>
      </c>
      <c r="CA28" s="110">
        <f t="shared" si="29"/>
        <v>938.69999999999993</v>
      </c>
      <c r="CB28" s="110">
        <f t="shared" si="30"/>
        <v>0</v>
      </c>
    </row>
    <row r="29" spans="1:80" ht="18" x14ac:dyDescent="0.3">
      <c r="A29" s="18"/>
      <c r="B29" s="18" t="s">
        <v>44</v>
      </c>
      <c r="C29" s="19" t="s">
        <v>45</v>
      </c>
      <c r="D29" s="20" t="s">
        <v>42</v>
      </c>
      <c r="E29" s="21" t="s">
        <v>46</v>
      </c>
      <c r="F29" s="22">
        <v>4329.8</v>
      </c>
      <c r="G29" s="22">
        <v>721.8</v>
      </c>
      <c r="H29" s="22">
        <v>4329.8</v>
      </c>
      <c r="I29" s="22">
        <v>721.8</v>
      </c>
      <c r="J29" s="89">
        <f t="shared" ref="J29:AA29" si="55">+J27+J28</f>
        <v>4850</v>
      </c>
      <c r="K29" s="89">
        <f t="shared" si="55"/>
        <v>150</v>
      </c>
      <c r="L29" s="89">
        <f t="shared" si="55"/>
        <v>0</v>
      </c>
      <c r="M29" s="89">
        <f t="shared" si="55"/>
        <v>5000</v>
      </c>
      <c r="N29" s="89">
        <f t="shared" si="55"/>
        <v>0</v>
      </c>
      <c r="O29" s="89">
        <f t="shared" si="55"/>
        <v>0</v>
      </c>
      <c r="P29" s="89">
        <f t="shared" si="55"/>
        <v>0</v>
      </c>
      <c r="Q29" s="89">
        <f t="shared" si="55"/>
        <v>0</v>
      </c>
      <c r="R29" s="89">
        <f t="shared" si="55"/>
        <v>5000</v>
      </c>
      <c r="S29" s="89">
        <f t="shared" si="55"/>
        <v>850</v>
      </c>
      <c r="T29" s="89">
        <f t="shared" si="55"/>
        <v>0</v>
      </c>
      <c r="U29" s="89">
        <f t="shared" si="55"/>
        <v>0</v>
      </c>
      <c r="V29" s="89">
        <f t="shared" si="55"/>
        <v>4582.2299999999996</v>
      </c>
      <c r="W29" s="89">
        <f t="shared" si="55"/>
        <v>745.4</v>
      </c>
      <c r="X29" s="89">
        <f t="shared" si="55"/>
        <v>417.77</v>
      </c>
      <c r="Y29" s="89">
        <f t="shared" si="55"/>
        <v>104.60000000000002</v>
      </c>
      <c r="Z29" s="89">
        <f t="shared" si="55"/>
        <v>4582.2299999999996</v>
      </c>
      <c r="AA29" s="89">
        <f t="shared" si="55"/>
        <v>0</v>
      </c>
      <c r="AB29" s="22">
        <f t="shared" si="4"/>
        <v>4582.2299999999996</v>
      </c>
      <c r="AC29" s="111">
        <f t="shared" si="5"/>
        <v>0</v>
      </c>
      <c r="AD29" s="22">
        <f t="shared" ref="AD29:CB29" si="56">+AD27+AD28</f>
        <v>4582.2299999999996</v>
      </c>
      <c r="AE29" s="22">
        <f t="shared" si="56"/>
        <v>745.4</v>
      </c>
      <c r="AF29" s="22">
        <f t="shared" si="56"/>
        <v>766.87</v>
      </c>
      <c r="AG29" s="22">
        <f t="shared" si="56"/>
        <v>1146</v>
      </c>
      <c r="AH29" s="22">
        <f t="shared" si="56"/>
        <v>186</v>
      </c>
      <c r="AI29" s="120">
        <f t="shared" si="56"/>
        <v>382</v>
      </c>
      <c r="AJ29" s="22">
        <f t="shared" si="56"/>
        <v>62</v>
      </c>
      <c r="AK29" s="22">
        <f t="shared" si="56"/>
        <v>0</v>
      </c>
      <c r="AL29" s="22">
        <f t="shared" si="56"/>
        <v>0</v>
      </c>
      <c r="AM29" s="22">
        <f t="shared" si="56"/>
        <v>1145.56</v>
      </c>
      <c r="AN29" s="22">
        <f t="shared" si="56"/>
        <v>181.5</v>
      </c>
      <c r="AO29" s="22">
        <f t="shared" si="56"/>
        <v>0</v>
      </c>
      <c r="AP29" s="22">
        <f t="shared" si="56"/>
        <v>0</v>
      </c>
      <c r="AQ29" s="22">
        <f t="shared" si="56"/>
        <v>2291.56</v>
      </c>
      <c r="AR29" s="22">
        <f t="shared" si="56"/>
        <v>367.5</v>
      </c>
      <c r="AS29" s="22">
        <f t="shared" si="56"/>
        <v>0</v>
      </c>
      <c r="AT29" s="22">
        <f t="shared" si="56"/>
        <v>0</v>
      </c>
      <c r="AU29" s="22">
        <f t="shared" si="56"/>
        <v>1145.56</v>
      </c>
      <c r="AV29" s="22">
        <f t="shared" si="56"/>
        <v>186.35</v>
      </c>
      <c r="AW29" s="22">
        <f t="shared" si="56"/>
        <v>0</v>
      </c>
      <c r="AX29" s="22">
        <f t="shared" si="56"/>
        <v>0</v>
      </c>
      <c r="AY29" s="22">
        <f t="shared" si="56"/>
        <v>3819.12</v>
      </c>
      <c r="AZ29" s="22">
        <f t="shared" si="56"/>
        <v>615.85</v>
      </c>
      <c r="BA29" s="22">
        <f t="shared" si="56"/>
        <v>4434.9699999999993</v>
      </c>
      <c r="BB29" s="22">
        <f t="shared" si="56"/>
        <v>3510.47</v>
      </c>
      <c r="BC29" s="22">
        <f t="shared" si="56"/>
        <v>518.4</v>
      </c>
      <c r="BD29" s="22">
        <f t="shared" si="56"/>
        <v>308.65000000000009</v>
      </c>
      <c r="BE29" s="22">
        <f t="shared" si="56"/>
        <v>97.450000000000045</v>
      </c>
      <c r="BF29" s="22">
        <f t="shared" si="56"/>
        <v>702.08999999999992</v>
      </c>
      <c r="BG29" s="120">
        <f t="shared" si="56"/>
        <v>103.68</v>
      </c>
      <c r="BH29" s="120">
        <f t="shared" si="56"/>
        <v>168.11999999999998</v>
      </c>
      <c r="BI29" s="120">
        <f t="shared" si="56"/>
        <v>3.12</v>
      </c>
      <c r="BJ29" s="120">
        <f t="shared" si="56"/>
        <v>0</v>
      </c>
      <c r="BK29" s="120">
        <f t="shared" si="56"/>
        <v>0</v>
      </c>
      <c r="BL29" s="120">
        <f t="shared" si="56"/>
        <v>3987.24</v>
      </c>
      <c r="BM29" s="120">
        <f t="shared" si="56"/>
        <v>618.97</v>
      </c>
      <c r="BN29" s="120">
        <f t="shared" si="56"/>
        <v>4606.2099999999991</v>
      </c>
      <c r="BO29" s="120">
        <f t="shared" si="56"/>
        <v>3791.25</v>
      </c>
      <c r="BP29" s="120">
        <f t="shared" si="56"/>
        <v>558.62</v>
      </c>
      <c r="BQ29" s="22">
        <f t="shared" si="56"/>
        <v>195.98999999999978</v>
      </c>
      <c r="BR29" s="22">
        <f t="shared" si="56"/>
        <v>60.350000000000023</v>
      </c>
      <c r="BS29" s="22">
        <f t="shared" si="56"/>
        <v>344.65999999999997</v>
      </c>
      <c r="BT29" s="22">
        <f t="shared" si="56"/>
        <v>50.78</v>
      </c>
      <c r="BU29" s="22">
        <f t="shared" si="56"/>
        <v>148.67000000000019</v>
      </c>
      <c r="BV29" s="22">
        <f t="shared" si="56"/>
        <v>0</v>
      </c>
      <c r="BW29" s="22">
        <f t="shared" si="56"/>
        <v>19.88</v>
      </c>
      <c r="BX29" s="22">
        <f t="shared" si="56"/>
        <v>57.67</v>
      </c>
      <c r="BY29" s="22">
        <f t="shared" si="56"/>
        <v>0</v>
      </c>
      <c r="BZ29" s="22">
        <f t="shared" si="56"/>
        <v>0</v>
      </c>
      <c r="CA29" s="22">
        <f t="shared" si="56"/>
        <v>4155.79</v>
      </c>
      <c r="CB29" s="22">
        <f t="shared" si="56"/>
        <v>676.64</v>
      </c>
    </row>
    <row r="30" spans="1:80" ht="18" x14ac:dyDescent="0.3">
      <c r="A30" s="13">
        <v>18</v>
      </c>
      <c r="B30" s="13"/>
      <c r="C30" s="14"/>
      <c r="D30" s="15" t="s">
        <v>47</v>
      </c>
      <c r="E30" s="16"/>
      <c r="F30" s="82">
        <v>2448.9699999999998</v>
      </c>
      <c r="G30" s="82">
        <v>224.26999999999998</v>
      </c>
      <c r="H30" s="82">
        <v>2448.9699999999998</v>
      </c>
      <c r="I30" s="17">
        <v>224.26999999999998</v>
      </c>
      <c r="J30" s="87">
        <v>2700</v>
      </c>
      <c r="K30" s="88">
        <v>0</v>
      </c>
      <c r="L30" s="88">
        <v>0</v>
      </c>
      <c r="M30" s="88">
        <f t="shared" si="45"/>
        <v>2700</v>
      </c>
      <c r="N30" s="88">
        <v>0</v>
      </c>
      <c r="O30" s="88">
        <v>0</v>
      </c>
      <c r="P30" s="88">
        <v>0</v>
      </c>
      <c r="Q30" s="88">
        <f t="shared" si="54"/>
        <v>0</v>
      </c>
      <c r="R30" s="88">
        <f t="shared" si="42"/>
        <v>2700</v>
      </c>
      <c r="S30" s="88">
        <v>250</v>
      </c>
      <c r="V30" s="17">
        <f>ROUND(H30*1.0583,2)</f>
        <v>2591.7399999999998</v>
      </c>
      <c r="W30" s="17">
        <f>ROUND(I30*1.0327,2)</f>
        <v>231.6</v>
      </c>
      <c r="X30" s="110">
        <f t="shared" si="2"/>
        <v>108.26000000000022</v>
      </c>
      <c r="Y30" s="110">
        <f t="shared" si="3"/>
        <v>18.400000000000006</v>
      </c>
      <c r="Z30" s="110">
        <v>2591.7399999999998</v>
      </c>
      <c r="AA30" s="110"/>
      <c r="AB30" s="110">
        <f t="shared" si="4"/>
        <v>2591.7399999999998</v>
      </c>
      <c r="AC30" s="111">
        <v>0</v>
      </c>
      <c r="AD30" s="110">
        <f>IF(X30&gt;0,V30,R30)</f>
        <v>2591.7399999999998</v>
      </c>
      <c r="AE30" s="110">
        <f>IF(Y30&gt;0,W30,S30)</f>
        <v>231.6</v>
      </c>
      <c r="AF30" s="110">
        <f t="shared" si="6"/>
        <v>225.55</v>
      </c>
      <c r="AG30" s="110">
        <f t="shared" si="7"/>
        <v>648</v>
      </c>
      <c r="AH30" s="110">
        <f t="shared" si="33"/>
        <v>58</v>
      </c>
      <c r="AI30" s="129">
        <f t="shared" si="8"/>
        <v>216</v>
      </c>
      <c r="AJ30" s="110">
        <f t="shared" si="9"/>
        <v>19</v>
      </c>
      <c r="AM30" s="110">
        <f t="shared" si="10"/>
        <v>647.94000000000005</v>
      </c>
      <c r="AN30" s="110">
        <f t="shared" si="11"/>
        <v>56.39</v>
      </c>
      <c r="AQ30" s="118">
        <f t="shared" si="12"/>
        <v>1295.94</v>
      </c>
      <c r="AR30" s="118">
        <f t="shared" si="13"/>
        <v>114.39</v>
      </c>
      <c r="AS30" s="118"/>
      <c r="AT30" s="118"/>
      <c r="AU30" s="118">
        <f t="shared" si="0"/>
        <v>647.94000000000005</v>
      </c>
      <c r="AV30" s="118">
        <v>165</v>
      </c>
      <c r="AW30" s="118"/>
      <c r="AX30" s="118"/>
      <c r="AY30" s="110">
        <f t="shared" si="15"/>
        <v>2159.88</v>
      </c>
      <c r="AZ30" s="110">
        <f t="shared" si="16"/>
        <v>298.39</v>
      </c>
      <c r="BA30" s="110">
        <f t="shared" si="17"/>
        <v>2458.27</v>
      </c>
      <c r="BB30" s="142">
        <v>2114.4299999999998</v>
      </c>
      <c r="BC30" s="142">
        <v>239.77</v>
      </c>
      <c r="BD30" s="142">
        <f t="shared" si="18"/>
        <v>45.450000000000273</v>
      </c>
      <c r="BE30" s="142">
        <f t="shared" si="19"/>
        <v>58.619999999999976</v>
      </c>
      <c r="BF30" s="142">
        <f t="shared" si="20"/>
        <v>422.89</v>
      </c>
      <c r="BG30" s="142">
        <f t="shared" si="21"/>
        <v>47.95</v>
      </c>
      <c r="BH30" s="110">
        <v>188.72</v>
      </c>
      <c r="BI30" s="110">
        <v>0</v>
      </c>
      <c r="BL30" s="110">
        <f t="shared" si="1"/>
        <v>2348.6</v>
      </c>
      <c r="BM30" s="110">
        <f t="shared" si="22"/>
        <v>298.39</v>
      </c>
      <c r="BN30" s="110">
        <f t="shared" si="23"/>
        <v>2646.99</v>
      </c>
      <c r="BO30" s="110">
        <v>2325.85</v>
      </c>
      <c r="BP30" s="129">
        <v>259.72000000000003</v>
      </c>
      <c r="BQ30" s="110">
        <f t="shared" si="24"/>
        <v>22.75</v>
      </c>
      <c r="BR30" s="110">
        <f t="shared" si="25"/>
        <v>38.669999999999959</v>
      </c>
      <c r="BS30" s="110">
        <f t="shared" si="26"/>
        <v>211.44</v>
      </c>
      <c r="BT30" s="110">
        <f t="shared" si="27"/>
        <v>23.61</v>
      </c>
      <c r="BU30" s="110">
        <f t="shared" si="34"/>
        <v>188.69</v>
      </c>
      <c r="BV30" s="111">
        <v>190</v>
      </c>
      <c r="BW30" s="111">
        <v>41</v>
      </c>
      <c r="BX30" s="111"/>
      <c r="BY30" s="111"/>
      <c r="BZ30" s="111"/>
      <c r="CA30" s="110">
        <f t="shared" si="29"/>
        <v>2578.29</v>
      </c>
      <c r="CB30" s="110">
        <f t="shared" si="30"/>
        <v>488.39</v>
      </c>
    </row>
    <row r="31" spans="1:80" ht="18" x14ac:dyDescent="0.3">
      <c r="A31" s="13">
        <v>19</v>
      </c>
      <c r="B31" s="13"/>
      <c r="C31" s="14"/>
      <c r="D31" s="148" t="s">
        <v>554</v>
      </c>
      <c r="E31" s="16"/>
      <c r="F31" s="82">
        <v>821.04</v>
      </c>
      <c r="G31" s="82">
        <v>0</v>
      </c>
      <c r="H31" s="82">
        <v>821.04</v>
      </c>
      <c r="I31" s="17">
        <v>0</v>
      </c>
      <c r="J31" s="87">
        <v>994.9</v>
      </c>
      <c r="K31" s="88">
        <v>0</v>
      </c>
      <c r="L31" s="88">
        <v>0</v>
      </c>
      <c r="M31" s="88">
        <f t="shared" si="45"/>
        <v>994.9</v>
      </c>
      <c r="N31" s="88">
        <v>76.38</v>
      </c>
      <c r="O31" s="88">
        <v>0</v>
      </c>
      <c r="P31" s="88">
        <v>0</v>
      </c>
      <c r="Q31" s="88">
        <f t="shared" si="54"/>
        <v>76.38</v>
      </c>
      <c r="R31" s="88">
        <f t="shared" si="42"/>
        <v>1071.28</v>
      </c>
      <c r="S31" s="88">
        <v>0</v>
      </c>
      <c r="V31" s="17">
        <f t="shared" ref="V31:V32" si="57">ROUND(H31*1.0583,2)</f>
        <v>868.91</v>
      </c>
      <c r="W31" s="17">
        <f t="shared" ref="W31:W32" si="58">ROUND(I31*1.0327,2)</f>
        <v>0</v>
      </c>
      <c r="X31" s="110">
        <f t="shared" si="2"/>
        <v>202.37</v>
      </c>
      <c r="Y31" s="110">
        <f t="shared" si="3"/>
        <v>0</v>
      </c>
      <c r="Z31" s="110">
        <v>1777.48</v>
      </c>
      <c r="AA31" s="110">
        <v>170</v>
      </c>
      <c r="AB31" s="110">
        <f t="shared" si="4"/>
        <v>1947.48</v>
      </c>
      <c r="AC31" s="111">
        <v>0</v>
      </c>
      <c r="AD31" s="110">
        <v>1947.48</v>
      </c>
      <c r="AE31" s="110">
        <v>0</v>
      </c>
      <c r="AF31" s="110">
        <v>0</v>
      </c>
      <c r="AG31" s="110">
        <v>487</v>
      </c>
      <c r="AH31" s="110">
        <v>0</v>
      </c>
      <c r="AI31" s="129">
        <v>162</v>
      </c>
      <c r="AJ31" s="110">
        <v>0</v>
      </c>
      <c r="AM31" s="110">
        <v>486.87</v>
      </c>
      <c r="AN31" s="110">
        <v>0</v>
      </c>
      <c r="AQ31" s="118">
        <f t="shared" si="12"/>
        <v>973.87</v>
      </c>
      <c r="AR31" s="118">
        <v>0</v>
      </c>
      <c r="AS31" s="118"/>
      <c r="AT31" s="118"/>
      <c r="AU31" s="118">
        <v>350</v>
      </c>
      <c r="AV31" s="118">
        <v>0</v>
      </c>
      <c r="AW31" s="118"/>
      <c r="AX31" s="118"/>
      <c r="AY31" s="110">
        <f t="shared" si="15"/>
        <v>1485.87</v>
      </c>
      <c r="AZ31" s="110">
        <f t="shared" si="16"/>
        <v>0</v>
      </c>
      <c r="BA31" s="110">
        <f t="shared" si="17"/>
        <v>1485.87</v>
      </c>
      <c r="BB31" s="142">
        <v>1494.47</v>
      </c>
      <c r="BD31" s="142">
        <f t="shared" si="18"/>
        <v>-8.6000000000001364</v>
      </c>
      <c r="BE31" s="142">
        <f t="shared" si="19"/>
        <v>0</v>
      </c>
      <c r="BF31" s="142">
        <f t="shared" si="20"/>
        <v>298.89</v>
      </c>
      <c r="BG31" s="142">
        <f t="shared" si="21"/>
        <v>0</v>
      </c>
      <c r="BH31" s="111">
        <v>6.59</v>
      </c>
      <c r="BI31" s="110">
        <v>0</v>
      </c>
      <c r="BL31" s="110">
        <f t="shared" si="1"/>
        <v>1492.4599999999998</v>
      </c>
      <c r="BM31" s="110">
        <f t="shared" si="22"/>
        <v>0</v>
      </c>
      <c r="BN31" s="110">
        <f t="shared" si="23"/>
        <v>1492.4599999999998</v>
      </c>
      <c r="BO31" s="110">
        <f>741.61+768.46</f>
        <v>1510.0700000000002</v>
      </c>
      <c r="BP31" s="129"/>
      <c r="BQ31" s="110">
        <f t="shared" si="24"/>
        <v>-17.610000000000355</v>
      </c>
      <c r="BR31" s="110">
        <f t="shared" si="25"/>
        <v>0</v>
      </c>
      <c r="BS31" s="110">
        <f t="shared" si="26"/>
        <v>137.28</v>
      </c>
      <c r="BT31" s="110">
        <f t="shared" si="27"/>
        <v>0</v>
      </c>
      <c r="BU31" s="110">
        <f t="shared" si="34"/>
        <v>154.89000000000036</v>
      </c>
      <c r="BV31" s="111">
        <f>ROUND(BT31-BR31,2)</f>
        <v>0</v>
      </c>
      <c r="BW31" s="111">
        <f>437.66+23.27</f>
        <v>460.93</v>
      </c>
      <c r="BX31" s="111"/>
      <c r="BY31" s="111"/>
      <c r="BZ31" s="111"/>
      <c r="CA31" s="110">
        <f t="shared" si="29"/>
        <v>2108.2800000000002</v>
      </c>
      <c r="CB31" s="110">
        <f t="shared" si="30"/>
        <v>0</v>
      </c>
    </row>
    <row r="32" spans="1:80" ht="31.2" x14ac:dyDescent="0.3">
      <c r="A32" s="13">
        <v>20</v>
      </c>
      <c r="B32" s="13"/>
      <c r="C32" s="14"/>
      <c r="D32" s="148" t="s">
        <v>555</v>
      </c>
      <c r="E32" s="16"/>
      <c r="F32" s="82">
        <v>1019.1500000000001</v>
      </c>
      <c r="G32" s="82">
        <v>0</v>
      </c>
      <c r="H32" s="82">
        <v>1019.1500000000001</v>
      </c>
      <c r="I32" s="17">
        <v>0</v>
      </c>
      <c r="J32" s="87">
        <v>1222.25</v>
      </c>
      <c r="K32" s="88">
        <v>0</v>
      </c>
      <c r="L32" s="88">
        <v>0</v>
      </c>
      <c r="M32" s="88">
        <f t="shared" si="45"/>
        <v>1222.25</v>
      </c>
      <c r="N32" s="88">
        <v>149.27000000000001</v>
      </c>
      <c r="O32" s="88">
        <v>0</v>
      </c>
      <c r="P32" s="88">
        <v>0</v>
      </c>
      <c r="Q32" s="88">
        <f t="shared" si="54"/>
        <v>149.27000000000001</v>
      </c>
      <c r="R32" s="88">
        <f t="shared" si="42"/>
        <v>1371.52</v>
      </c>
      <c r="S32" s="88">
        <v>0</v>
      </c>
      <c r="V32" s="17">
        <f t="shared" si="57"/>
        <v>1078.57</v>
      </c>
      <c r="W32" s="17">
        <f t="shared" si="58"/>
        <v>0</v>
      </c>
      <c r="X32" s="110">
        <f t="shared" si="2"/>
        <v>292.95000000000005</v>
      </c>
      <c r="Y32" s="110">
        <f t="shared" si="3"/>
        <v>0</v>
      </c>
      <c r="Z32" s="110">
        <v>1064.3</v>
      </c>
      <c r="AA32" s="110">
        <v>45</v>
      </c>
      <c r="AB32" s="110">
        <f t="shared" si="4"/>
        <v>1109.3</v>
      </c>
      <c r="AC32" s="111">
        <v>0</v>
      </c>
      <c r="AD32" s="110">
        <v>1109.3</v>
      </c>
      <c r="AE32" s="110">
        <v>0</v>
      </c>
      <c r="AF32" s="110">
        <v>0</v>
      </c>
      <c r="AG32" s="110">
        <v>278</v>
      </c>
      <c r="AH32" s="110">
        <v>0</v>
      </c>
      <c r="AI32" s="129">
        <v>93</v>
      </c>
      <c r="AJ32" s="110">
        <v>0</v>
      </c>
      <c r="AM32" s="110">
        <v>277.33</v>
      </c>
      <c r="AN32" s="110">
        <v>0</v>
      </c>
      <c r="AQ32" s="110">
        <f t="shared" si="12"/>
        <v>555.32999999999993</v>
      </c>
      <c r="AR32" s="110">
        <v>0</v>
      </c>
      <c r="AU32" s="110">
        <v>277.33</v>
      </c>
      <c r="AV32" s="110">
        <v>0</v>
      </c>
      <c r="AY32" s="110">
        <f t="shared" si="15"/>
        <v>925.65999999999985</v>
      </c>
      <c r="AZ32" s="110">
        <f t="shared" si="16"/>
        <v>0</v>
      </c>
      <c r="BA32" s="110">
        <f t="shared" si="17"/>
        <v>925.65999999999985</v>
      </c>
      <c r="BB32" s="142">
        <f>605.57+218.31</f>
        <v>823.88000000000011</v>
      </c>
      <c r="BD32" s="142">
        <f t="shared" si="18"/>
        <v>101.77999999999975</v>
      </c>
      <c r="BE32" s="142">
        <f t="shared" si="19"/>
        <v>0</v>
      </c>
      <c r="BF32" s="142">
        <f t="shared" si="20"/>
        <v>164.78</v>
      </c>
      <c r="BG32" s="142">
        <f t="shared" si="21"/>
        <v>0</v>
      </c>
      <c r="BH32" s="111">
        <v>31.5</v>
      </c>
      <c r="BI32" s="110">
        <v>0</v>
      </c>
      <c r="BL32" s="110">
        <f t="shared" si="1"/>
        <v>957.15999999999985</v>
      </c>
      <c r="BM32" s="110">
        <f t="shared" si="22"/>
        <v>0</v>
      </c>
      <c r="BN32" s="110">
        <f t="shared" si="23"/>
        <v>957.15999999999985</v>
      </c>
      <c r="BO32" s="110">
        <f>605.57+218.31</f>
        <v>823.88000000000011</v>
      </c>
      <c r="BP32" s="129"/>
      <c r="BQ32" s="110">
        <f t="shared" si="24"/>
        <v>133.27999999999975</v>
      </c>
      <c r="BR32" s="110">
        <f t="shared" si="25"/>
        <v>0</v>
      </c>
      <c r="BS32" s="110">
        <f t="shared" si="26"/>
        <v>74.900000000000006</v>
      </c>
      <c r="BT32" s="110">
        <f t="shared" si="27"/>
        <v>0</v>
      </c>
      <c r="BU32" s="110">
        <v>-58.38</v>
      </c>
      <c r="BV32" s="111">
        <f t="shared" ref="BV32" si="59">ROUND(BT32-BR32,2)</f>
        <v>0</v>
      </c>
      <c r="BW32" s="111">
        <v>882.96</v>
      </c>
      <c r="BX32" s="111"/>
      <c r="BY32" s="111"/>
      <c r="BZ32" s="111"/>
      <c r="CA32" s="110">
        <f t="shared" si="29"/>
        <v>1781.7399999999998</v>
      </c>
      <c r="CB32" s="110">
        <f t="shared" si="30"/>
        <v>0</v>
      </c>
    </row>
    <row r="33" spans="1:80" ht="18" x14ac:dyDescent="0.3">
      <c r="A33" s="18"/>
      <c r="B33" s="18" t="s">
        <v>48</v>
      </c>
      <c r="C33" s="19" t="s">
        <v>45</v>
      </c>
      <c r="D33" s="20" t="s">
        <v>47</v>
      </c>
      <c r="E33" s="21" t="s">
        <v>49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9" t="e">
        <f>+J30+J31+J32+#REF!+#REF!</f>
        <v>#REF!</v>
      </c>
      <c r="K33" s="89" t="e">
        <f>+K30+K31+K32+#REF!+#REF!</f>
        <v>#REF!</v>
      </c>
      <c r="L33" s="89" t="e">
        <f>+L30+L31+L32+#REF!+#REF!</f>
        <v>#REF!</v>
      </c>
      <c r="M33" s="89" t="e">
        <f>+M30+M31+M32+#REF!+#REF!</f>
        <v>#REF!</v>
      </c>
      <c r="N33" s="89" t="e">
        <f>+N30+N31+N32+#REF!+#REF!</f>
        <v>#REF!</v>
      </c>
      <c r="O33" s="89" t="e">
        <f>+O30+O31+O32+#REF!+#REF!</f>
        <v>#REF!</v>
      </c>
      <c r="P33" s="89" t="e">
        <f>+P30+P31+P32+#REF!+#REF!</f>
        <v>#REF!</v>
      </c>
      <c r="Q33" s="89" t="e">
        <f>+Q30+Q31+Q32+#REF!+#REF!</f>
        <v>#REF!</v>
      </c>
      <c r="R33" s="89" t="e">
        <f>+R30+R31+R32+#REF!+#REF!</f>
        <v>#REF!</v>
      </c>
      <c r="S33" s="89" t="e">
        <f>+S30+S31+S32+#REF!+#REF!</f>
        <v>#REF!</v>
      </c>
      <c r="T33" s="89" t="e">
        <f>+T30+T31+T32+#REF!+#REF!</f>
        <v>#REF!</v>
      </c>
      <c r="U33" s="89" t="e">
        <f>+U30+U31+U32+#REF!+#REF!</f>
        <v>#REF!</v>
      </c>
      <c r="V33" s="89" t="e">
        <f>+V30+V31+V32+#REF!+#REF!</f>
        <v>#REF!</v>
      </c>
      <c r="W33" s="89" t="e">
        <f>+W30+W31+W32+#REF!+#REF!</f>
        <v>#REF!</v>
      </c>
      <c r="X33" s="89" t="e">
        <f>+X30+X31+X32+#REF!+#REF!</f>
        <v>#REF!</v>
      </c>
      <c r="Y33" s="89" t="e">
        <f>+Y30+Y31+Y32+#REF!+#REF!</f>
        <v>#REF!</v>
      </c>
      <c r="Z33" s="89" t="e">
        <f>+Z30+Z31+Z32+#REF!+#REF!</f>
        <v>#REF!</v>
      </c>
      <c r="AA33" s="89" t="e">
        <f>+AA30+AA31+AA32+#REF!+#REF!</f>
        <v>#REF!</v>
      </c>
      <c r="AB33" s="22" t="e">
        <f t="shared" si="4"/>
        <v>#REF!</v>
      </c>
      <c r="AC33" s="111">
        <v>0</v>
      </c>
      <c r="AD33" s="22">
        <f t="shared" ref="AD33" si="60">+AD30+AD31+AD32</f>
        <v>5648.5199999999995</v>
      </c>
      <c r="AE33" s="22">
        <f t="shared" ref="AE33" si="61">+AE30+AE31+AE32</f>
        <v>231.6</v>
      </c>
      <c r="AF33" s="22">
        <f t="shared" ref="AF33" si="62">+AF30+AF31+AF32</f>
        <v>225.55</v>
      </c>
      <c r="AG33" s="22">
        <f t="shared" ref="AG33" si="63">+AG30+AG31+AG32</f>
        <v>1413</v>
      </c>
      <c r="AH33" s="22">
        <f t="shared" ref="AH33" si="64">+AH30+AH31+AH32</f>
        <v>58</v>
      </c>
      <c r="AI33" s="22">
        <f t="shared" ref="AI33" si="65">+AI30+AI31+AI32</f>
        <v>471</v>
      </c>
      <c r="AJ33" s="22">
        <f t="shared" ref="AJ33" si="66">+AJ30+AJ31+AJ32</f>
        <v>19</v>
      </c>
      <c r="AK33" s="22">
        <f t="shared" ref="AK33" si="67">+AK30+AK31+AK32</f>
        <v>0</v>
      </c>
      <c r="AL33" s="22">
        <f t="shared" ref="AL33" si="68">+AL30+AL31+AL32</f>
        <v>0</v>
      </c>
      <c r="AM33" s="22">
        <f t="shared" ref="AM33" si="69">+AM30+AM31+AM32</f>
        <v>1412.1399999999999</v>
      </c>
      <c r="AN33" s="22">
        <f t="shared" ref="AN33" si="70">+AN30+AN31+AN32</f>
        <v>56.39</v>
      </c>
      <c r="AO33" s="22">
        <f t="shared" ref="AO33" si="71">+AO30+AO31+AO32</f>
        <v>0</v>
      </c>
      <c r="AP33" s="22">
        <f t="shared" ref="AP33" si="72">+AP30+AP31+AP32</f>
        <v>0</v>
      </c>
      <c r="AQ33" s="22">
        <f t="shared" ref="AQ33" si="73">+AQ30+AQ31+AQ32</f>
        <v>2825.14</v>
      </c>
      <c r="AR33" s="22">
        <f t="shared" ref="AR33" si="74">+AR30+AR31+AR32</f>
        <v>114.39</v>
      </c>
      <c r="AS33" s="22">
        <f t="shared" ref="AS33" si="75">+AS30+AS31+AS32</f>
        <v>0</v>
      </c>
      <c r="AT33" s="22">
        <f t="shared" ref="AT33" si="76">+AT30+AT31+AT32</f>
        <v>0</v>
      </c>
      <c r="AU33" s="22">
        <f t="shared" ref="AU33" si="77">+AU30+AU31+AU32</f>
        <v>1275.27</v>
      </c>
      <c r="AV33" s="22">
        <f t="shared" ref="AV33" si="78">+AV30+AV31+AV32</f>
        <v>165</v>
      </c>
      <c r="AW33" s="22">
        <f t="shared" ref="AW33" si="79">+AW30+AW31+AW32</f>
        <v>0</v>
      </c>
      <c r="AX33" s="22">
        <f t="shared" ref="AX33" si="80">+AX30+AX31+AX32</f>
        <v>0</v>
      </c>
      <c r="AY33" s="22">
        <f t="shared" ref="AY33" si="81">+AY30+AY31+AY32</f>
        <v>4571.41</v>
      </c>
      <c r="AZ33" s="22">
        <f t="shared" ref="AZ33" si="82">+AZ30+AZ31+AZ32</f>
        <v>298.39</v>
      </c>
      <c r="BA33" s="22">
        <f t="shared" ref="BA33" si="83">+BA30+BA31+BA32</f>
        <v>4869.7999999999993</v>
      </c>
      <c r="BB33" s="22">
        <f t="shared" ref="BB33:CB33" si="84">+BB30+BB31+BB32</f>
        <v>4432.78</v>
      </c>
      <c r="BC33" s="22">
        <f t="shared" si="84"/>
        <v>239.77</v>
      </c>
      <c r="BD33" s="22">
        <f t="shared" si="84"/>
        <v>138.62999999999988</v>
      </c>
      <c r="BE33" s="22">
        <f t="shared" si="84"/>
        <v>58.619999999999976</v>
      </c>
      <c r="BF33" s="22">
        <f t="shared" si="84"/>
        <v>886.56</v>
      </c>
      <c r="BG33" s="120">
        <f t="shared" si="84"/>
        <v>47.95</v>
      </c>
      <c r="BH33" s="120">
        <f t="shared" si="84"/>
        <v>226.81</v>
      </c>
      <c r="BI33" s="120">
        <f t="shared" si="84"/>
        <v>0</v>
      </c>
      <c r="BJ33" s="120">
        <f t="shared" si="84"/>
        <v>0</v>
      </c>
      <c r="BK33" s="120">
        <f t="shared" si="84"/>
        <v>0</v>
      </c>
      <c r="BL33" s="120">
        <f t="shared" si="84"/>
        <v>4798.2199999999993</v>
      </c>
      <c r="BM33" s="120">
        <f t="shared" si="84"/>
        <v>298.39</v>
      </c>
      <c r="BN33" s="120">
        <f t="shared" si="84"/>
        <v>5096.6099999999997</v>
      </c>
      <c r="BO33" s="120">
        <f t="shared" si="84"/>
        <v>4659.8</v>
      </c>
      <c r="BP33" s="120">
        <f t="shared" si="84"/>
        <v>259.72000000000003</v>
      </c>
      <c r="BQ33" s="22">
        <f t="shared" si="84"/>
        <v>138.41999999999939</v>
      </c>
      <c r="BR33" s="22">
        <f t="shared" si="84"/>
        <v>38.669999999999959</v>
      </c>
      <c r="BS33" s="22">
        <f t="shared" si="84"/>
        <v>423.62</v>
      </c>
      <c r="BT33" s="22">
        <f t="shared" si="84"/>
        <v>23.61</v>
      </c>
      <c r="BU33" s="22">
        <f t="shared" si="84"/>
        <v>285.20000000000039</v>
      </c>
      <c r="BV33" s="22">
        <f t="shared" si="84"/>
        <v>190</v>
      </c>
      <c r="BW33" s="22">
        <f t="shared" si="84"/>
        <v>1384.89</v>
      </c>
      <c r="BX33" s="22">
        <f t="shared" si="84"/>
        <v>0</v>
      </c>
      <c r="BY33" s="22">
        <f t="shared" si="84"/>
        <v>0</v>
      </c>
      <c r="BZ33" s="22">
        <f t="shared" si="84"/>
        <v>0</v>
      </c>
      <c r="CA33" s="22">
        <f t="shared" si="84"/>
        <v>6468.3099999999995</v>
      </c>
      <c r="CB33" s="22">
        <f t="shared" si="84"/>
        <v>488.39</v>
      </c>
    </row>
    <row r="34" spans="1:80" ht="18" x14ac:dyDescent="0.3">
      <c r="A34" s="13">
        <v>23</v>
      </c>
      <c r="B34" s="13"/>
      <c r="C34" s="14"/>
      <c r="D34" s="15" t="s">
        <v>50</v>
      </c>
      <c r="E34" s="16"/>
      <c r="F34" s="82">
        <v>2871.5600000000004</v>
      </c>
      <c r="G34" s="82">
        <v>2275.63</v>
      </c>
      <c r="H34" s="82">
        <v>2871.5600000000004</v>
      </c>
      <c r="I34" s="17">
        <v>2275.63</v>
      </c>
      <c r="J34" s="87">
        <v>3500</v>
      </c>
      <c r="K34" s="88">
        <v>0</v>
      </c>
      <c r="L34" s="88">
        <v>0</v>
      </c>
      <c r="M34" s="88">
        <f t="shared" si="45"/>
        <v>3500</v>
      </c>
      <c r="N34" s="88">
        <v>0</v>
      </c>
      <c r="O34" s="88">
        <v>0</v>
      </c>
      <c r="P34" s="88">
        <v>0</v>
      </c>
      <c r="Q34" s="88">
        <f t="shared" si="54"/>
        <v>0</v>
      </c>
      <c r="R34" s="88">
        <f t="shared" si="42"/>
        <v>3500</v>
      </c>
      <c r="S34" s="88">
        <v>3000</v>
      </c>
      <c r="V34" s="17">
        <f t="shared" ref="V34" si="85">ROUND(H34*1.0583,2)</f>
        <v>3038.97</v>
      </c>
      <c r="W34" s="17">
        <f t="shared" ref="W34" si="86">ROUND(I34*1.0327,2)</f>
        <v>2350.04</v>
      </c>
      <c r="X34" s="110">
        <f t="shared" si="2"/>
        <v>461.0300000000002</v>
      </c>
      <c r="Y34" s="110">
        <f t="shared" si="3"/>
        <v>649.96</v>
      </c>
      <c r="Z34" s="110">
        <v>3038.97</v>
      </c>
      <c r="AA34" s="110"/>
      <c r="AB34" s="110">
        <f t="shared" si="4"/>
        <v>3038.97</v>
      </c>
      <c r="AC34" s="111">
        <f t="shared" si="5"/>
        <v>0</v>
      </c>
      <c r="AD34" s="110">
        <f>IF(X34&gt;0,V34,R34)</f>
        <v>3038.97</v>
      </c>
      <c r="AE34" s="110">
        <f>IF(Y34&gt;0,W34,S34)</f>
        <v>2350.04</v>
      </c>
      <c r="AF34" s="110">
        <f t="shared" si="6"/>
        <v>2706.6</v>
      </c>
      <c r="AG34" s="110">
        <f t="shared" si="7"/>
        <v>760</v>
      </c>
      <c r="AH34" s="110">
        <f t="shared" si="33"/>
        <v>588</v>
      </c>
      <c r="AI34" s="129">
        <f t="shared" si="8"/>
        <v>253</v>
      </c>
      <c r="AJ34" s="110">
        <f t="shared" si="9"/>
        <v>196</v>
      </c>
      <c r="AM34" s="110">
        <f t="shared" si="10"/>
        <v>759.74</v>
      </c>
      <c r="AN34" s="110">
        <f t="shared" si="11"/>
        <v>572.23</v>
      </c>
      <c r="AQ34" s="110">
        <f t="shared" si="12"/>
        <v>1519.74</v>
      </c>
      <c r="AR34" s="110">
        <f t="shared" si="13"/>
        <v>1160.23</v>
      </c>
      <c r="AU34" s="110">
        <f t="shared" si="0"/>
        <v>759.74</v>
      </c>
      <c r="AV34" s="110">
        <f t="shared" ref="AV34:AV44" si="87">ROUND(AE34*25%,2)</f>
        <v>587.51</v>
      </c>
      <c r="AY34" s="110">
        <f t="shared" si="15"/>
        <v>2532.48</v>
      </c>
      <c r="AZ34" s="110">
        <f t="shared" si="16"/>
        <v>1943.74</v>
      </c>
      <c r="BA34" s="110">
        <f t="shared" si="17"/>
        <v>4476.22</v>
      </c>
      <c r="BB34" s="142">
        <v>2406.2399999999998</v>
      </c>
      <c r="BC34" s="142">
        <v>1758.21</v>
      </c>
      <c r="BD34" s="142">
        <f t="shared" si="18"/>
        <v>126.24000000000024</v>
      </c>
      <c r="BE34" s="142">
        <f t="shared" si="19"/>
        <v>185.52999999999997</v>
      </c>
      <c r="BF34" s="142">
        <f t="shared" si="20"/>
        <v>481.25</v>
      </c>
      <c r="BG34" s="142">
        <f t="shared" si="21"/>
        <v>351.64</v>
      </c>
      <c r="BH34" s="110">
        <v>177.51</v>
      </c>
      <c r="BI34" s="146">
        <v>50</v>
      </c>
      <c r="BJ34" s="146"/>
      <c r="BK34" s="146"/>
      <c r="BL34" s="110">
        <f t="shared" si="1"/>
        <v>2709.99</v>
      </c>
      <c r="BM34" s="110">
        <f t="shared" si="22"/>
        <v>1993.74</v>
      </c>
      <c r="BN34" s="110">
        <f t="shared" si="23"/>
        <v>4703.7299999999996</v>
      </c>
      <c r="BO34" s="110">
        <v>2651.96</v>
      </c>
      <c r="BP34" s="129">
        <v>1968.87</v>
      </c>
      <c r="BQ34" s="110">
        <f t="shared" si="24"/>
        <v>58.029999999999745</v>
      </c>
      <c r="BR34" s="110">
        <f t="shared" si="25"/>
        <v>24.870000000000118</v>
      </c>
      <c r="BS34" s="110">
        <f t="shared" si="26"/>
        <v>241.09</v>
      </c>
      <c r="BT34" s="110">
        <f t="shared" si="27"/>
        <v>178.99</v>
      </c>
      <c r="BU34" s="111">
        <f>280-57.23</f>
        <v>222.77</v>
      </c>
      <c r="BV34" s="111">
        <v>300</v>
      </c>
      <c r="BW34" s="111"/>
      <c r="BX34" s="111">
        <v>104.03</v>
      </c>
      <c r="BY34" s="111"/>
      <c r="BZ34" s="111"/>
      <c r="CA34" s="110">
        <f t="shared" si="29"/>
        <v>2932.7599999999998</v>
      </c>
      <c r="CB34" s="110">
        <f t="shared" si="30"/>
        <v>2397.77</v>
      </c>
    </row>
    <row r="35" spans="1:80" ht="18" x14ac:dyDescent="0.3">
      <c r="A35" s="13">
        <v>24</v>
      </c>
      <c r="B35" s="13"/>
      <c r="C35" s="14"/>
      <c r="D35" s="15" t="s">
        <v>51</v>
      </c>
      <c r="E35" s="16"/>
      <c r="F35" s="82">
        <v>652.8599999999999</v>
      </c>
      <c r="G35" s="82">
        <v>0</v>
      </c>
      <c r="H35" s="82">
        <v>652.8599999999999</v>
      </c>
      <c r="I35" s="17">
        <v>0</v>
      </c>
      <c r="J35" s="87">
        <v>1390.28</v>
      </c>
      <c r="K35" s="88">
        <v>0</v>
      </c>
      <c r="L35" s="88">
        <v>0</v>
      </c>
      <c r="M35" s="88">
        <f t="shared" si="45"/>
        <v>1390.28</v>
      </c>
      <c r="N35" s="88">
        <v>72.8</v>
      </c>
      <c r="O35" s="88">
        <v>0</v>
      </c>
      <c r="P35" s="88">
        <v>0</v>
      </c>
      <c r="Q35" s="88">
        <f t="shared" si="54"/>
        <v>72.8</v>
      </c>
      <c r="R35" s="88">
        <f t="shared" si="42"/>
        <v>1463.08</v>
      </c>
      <c r="S35" s="88">
        <v>0</v>
      </c>
      <c r="V35" s="17">
        <f t="shared" ref="V35" si="88">ROUND(H35*1.0583,2)</f>
        <v>690.92</v>
      </c>
      <c r="W35" s="17">
        <f t="shared" ref="W35" si="89">ROUND(I35*1.0327,2)</f>
        <v>0</v>
      </c>
      <c r="X35" s="110">
        <f t="shared" si="2"/>
        <v>772.16</v>
      </c>
      <c r="Y35" s="110">
        <f t="shared" si="3"/>
        <v>0</v>
      </c>
      <c r="Z35" s="110">
        <v>660</v>
      </c>
      <c r="AA35" s="110">
        <v>30.92</v>
      </c>
      <c r="AB35" s="110">
        <f t="shared" si="4"/>
        <v>690.92</v>
      </c>
      <c r="AC35" s="111">
        <f t="shared" si="5"/>
        <v>0</v>
      </c>
      <c r="AD35" s="110">
        <f>IF(X35&gt;0,V35,R35)</f>
        <v>690.92</v>
      </c>
      <c r="AE35" s="110">
        <f>IF(Y35&gt;0,W35,S35)</f>
        <v>0</v>
      </c>
      <c r="AF35" s="110">
        <f t="shared" si="6"/>
        <v>0</v>
      </c>
      <c r="AG35" s="110">
        <f t="shared" si="7"/>
        <v>173</v>
      </c>
      <c r="AH35" s="110">
        <f t="shared" si="33"/>
        <v>0</v>
      </c>
      <c r="AI35" s="129">
        <f t="shared" si="8"/>
        <v>58</v>
      </c>
      <c r="AJ35" s="110">
        <f t="shared" si="9"/>
        <v>0</v>
      </c>
      <c r="AM35" s="110">
        <f t="shared" si="10"/>
        <v>172.73</v>
      </c>
      <c r="AN35" s="110">
        <f t="shared" si="11"/>
        <v>0</v>
      </c>
      <c r="AQ35" s="110">
        <f t="shared" si="12"/>
        <v>345.73</v>
      </c>
      <c r="AR35" s="110">
        <f t="shared" si="13"/>
        <v>0</v>
      </c>
      <c r="AU35" s="110">
        <f t="shared" si="0"/>
        <v>172.73</v>
      </c>
      <c r="AV35" s="110">
        <f t="shared" si="87"/>
        <v>0</v>
      </c>
      <c r="AY35" s="110">
        <f t="shared" si="15"/>
        <v>576.46</v>
      </c>
      <c r="AZ35" s="110">
        <f t="shared" si="16"/>
        <v>0</v>
      </c>
      <c r="BA35" s="110">
        <f t="shared" si="17"/>
        <v>576.46</v>
      </c>
      <c r="BB35" s="142">
        <v>576.45999999999992</v>
      </c>
      <c r="BD35" s="142">
        <f t="shared" si="18"/>
        <v>0</v>
      </c>
      <c r="BE35" s="142">
        <f t="shared" si="19"/>
        <v>0</v>
      </c>
      <c r="BF35" s="142">
        <f t="shared" si="20"/>
        <v>115.29</v>
      </c>
      <c r="BG35" s="142">
        <f t="shared" si="21"/>
        <v>0</v>
      </c>
      <c r="BH35" s="110">
        <v>57.23</v>
      </c>
      <c r="BI35" s="110">
        <v>0</v>
      </c>
      <c r="BL35" s="110">
        <f t="shared" si="1"/>
        <v>633.69000000000005</v>
      </c>
      <c r="BM35" s="110">
        <f t="shared" si="22"/>
        <v>0</v>
      </c>
      <c r="BN35" s="110">
        <f t="shared" si="23"/>
        <v>633.69000000000005</v>
      </c>
      <c r="BO35" s="110">
        <v>576.45999999999992</v>
      </c>
      <c r="BP35" s="129"/>
      <c r="BQ35" s="110">
        <f t="shared" si="24"/>
        <v>57.230000000000132</v>
      </c>
      <c r="BR35" s="110">
        <f t="shared" si="25"/>
        <v>0</v>
      </c>
      <c r="BS35" s="110">
        <f t="shared" si="26"/>
        <v>52.41</v>
      </c>
      <c r="BT35" s="110">
        <f t="shared" si="27"/>
        <v>0</v>
      </c>
      <c r="BU35" s="110">
        <f>0+57.23</f>
        <v>57.23</v>
      </c>
      <c r="BV35" s="110">
        <f>ROUND(BT35-BR35,2)</f>
        <v>0</v>
      </c>
      <c r="CA35" s="110">
        <f t="shared" si="29"/>
        <v>690.92000000000007</v>
      </c>
      <c r="CB35" s="110">
        <f t="shared" si="30"/>
        <v>0</v>
      </c>
    </row>
    <row r="36" spans="1:80" ht="18" x14ac:dyDescent="0.3">
      <c r="A36" s="18"/>
      <c r="B36" s="18" t="s">
        <v>52</v>
      </c>
      <c r="C36" s="19" t="s">
        <v>45</v>
      </c>
      <c r="D36" s="20" t="s">
        <v>50</v>
      </c>
      <c r="E36" s="21" t="s">
        <v>53</v>
      </c>
      <c r="F36" s="22">
        <v>3524.42</v>
      </c>
      <c r="G36" s="22">
        <v>2275.63</v>
      </c>
      <c r="H36" s="22">
        <v>3524.42</v>
      </c>
      <c r="I36" s="22">
        <v>2275.63</v>
      </c>
      <c r="J36" s="89">
        <f t="shared" ref="J36:AA36" si="90">+J34+J35</f>
        <v>4890.28</v>
      </c>
      <c r="K36" s="89">
        <f t="shared" si="90"/>
        <v>0</v>
      </c>
      <c r="L36" s="89">
        <f t="shared" si="90"/>
        <v>0</v>
      </c>
      <c r="M36" s="89">
        <f t="shared" si="90"/>
        <v>4890.28</v>
      </c>
      <c r="N36" s="89">
        <f t="shared" si="90"/>
        <v>72.8</v>
      </c>
      <c r="O36" s="89">
        <f t="shared" si="90"/>
        <v>0</v>
      </c>
      <c r="P36" s="89">
        <f t="shared" si="90"/>
        <v>0</v>
      </c>
      <c r="Q36" s="89">
        <f t="shared" si="90"/>
        <v>72.8</v>
      </c>
      <c r="R36" s="89">
        <f t="shared" si="90"/>
        <v>4963.08</v>
      </c>
      <c r="S36" s="89">
        <f t="shared" si="90"/>
        <v>3000</v>
      </c>
      <c r="T36" s="89">
        <f t="shared" si="90"/>
        <v>0</v>
      </c>
      <c r="U36" s="89">
        <f t="shared" si="90"/>
        <v>0</v>
      </c>
      <c r="V36" s="89">
        <f t="shared" si="90"/>
        <v>3729.89</v>
      </c>
      <c r="W36" s="89">
        <f t="shared" si="90"/>
        <v>2350.04</v>
      </c>
      <c r="X36" s="89">
        <f t="shared" si="90"/>
        <v>1233.19</v>
      </c>
      <c r="Y36" s="89">
        <f t="shared" si="90"/>
        <v>649.96</v>
      </c>
      <c r="Z36" s="89">
        <f t="shared" si="90"/>
        <v>3698.97</v>
      </c>
      <c r="AA36" s="89">
        <f t="shared" si="90"/>
        <v>30.92</v>
      </c>
      <c r="AB36" s="22">
        <f t="shared" si="4"/>
        <v>3729.89</v>
      </c>
      <c r="AC36" s="111">
        <f t="shared" si="5"/>
        <v>0</v>
      </c>
      <c r="AD36" s="22">
        <f t="shared" ref="AD36:CB36" si="91">+AD34+AD35</f>
        <v>3729.89</v>
      </c>
      <c r="AE36" s="22">
        <f t="shared" si="91"/>
        <v>2350.04</v>
      </c>
      <c r="AF36" s="22">
        <f t="shared" si="91"/>
        <v>2706.6</v>
      </c>
      <c r="AG36" s="22">
        <f t="shared" si="91"/>
        <v>933</v>
      </c>
      <c r="AH36" s="22">
        <f t="shared" si="91"/>
        <v>588</v>
      </c>
      <c r="AI36" s="120">
        <f t="shared" si="91"/>
        <v>311</v>
      </c>
      <c r="AJ36" s="22">
        <f t="shared" si="91"/>
        <v>196</v>
      </c>
      <c r="AK36" s="22">
        <f t="shared" si="91"/>
        <v>0</v>
      </c>
      <c r="AL36" s="22">
        <f t="shared" si="91"/>
        <v>0</v>
      </c>
      <c r="AM36" s="22">
        <f t="shared" si="91"/>
        <v>932.47</v>
      </c>
      <c r="AN36" s="22">
        <f t="shared" si="91"/>
        <v>572.23</v>
      </c>
      <c r="AO36" s="22">
        <f t="shared" si="91"/>
        <v>0</v>
      </c>
      <c r="AP36" s="22">
        <f t="shared" si="91"/>
        <v>0</v>
      </c>
      <c r="AQ36" s="22">
        <f t="shared" si="91"/>
        <v>1865.47</v>
      </c>
      <c r="AR36" s="22">
        <f t="shared" si="91"/>
        <v>1160.23</v>
      </c>
      <c r="AS36" s="22">
        <f t="shared" si="91"/>
        <v>0</v>
      </c>
      <c r="AT36" s="22">
        <f t="shared" si="91"/>
        <v>0</v>
      </c>
      <c r="AU36" s="22">
        <f t="shared" si="91"/>
        <v>932.47</v>
      </c>
      <c r="AV36" s="22">
        <f t="shared" si="91"/>
        <v>587.51</v>
      </c>
      <c r="AW36" s="22">
        <f t="shared" si="91"/>
        <v>0</v>
      </c>
      <c r="AX36" s="22">
        <f t="shared" si="91"/>
        <v>0</v>
      </c>
      <c r="AY36" s="22">
        <f t="shared" si="91"/>
        <v>3108.94</v>
      </c>
      <c r="AZ36" s="22">
        <f t="shared" si="91"/>
        <v>1943.74</v>
      </c>
      <c r="BA36" s="22">
        <f t="shared" si="91"/>
        <v>5052.68</v>
      </c>
      <c r="BB36" s="22">
        <f t="shared" si="91"/>
        <v>2982.7</v>
      </c>
      <c r="BC36" s="22">
        <f t="shared" si="91"/>
        <v>1758.21</v>
      </c>
      <c r="BD36" s="22">
        <f t="shared" si="91"/>
        <v>126.24000000000024</v>
      </c>
      <c r="BE36" s="22">
        <f t="shared" si="91"/>
        <v>185.52999999999997</v>
      </c>
      <c r="BF36" s="22">
        <f t="shared" si="91"/>
        <v>596.54</v>
      </c>
      <c r="BG36" s="120">
        <f t="shared" si="91"/>
        <v>351.64</v>
      </c>
      <c r="BH36" s="120">
        <f t="shared" si="91"/>
        <v>234.73999999999998</v>
      </c>
      <c r="BI36" s="120">
        <f t="shared" si="91"/>
        <v>50</v>
      </c>
      <c r="BJ36" s="120">
        <f t="shared" si="91"/>
        <v>0</v>
      </c>
      <c r="BK36" s="120">
        <f t="shared" si="91"/>
        <v>0</v>
      </c>
      <c r="BL36" s="120">
        <f t="shared" si="91"/>
        <v>3343.68</v>
      </c>
      <c r="BM36" s="120">
        <f t="shared" si="91"/>
        <v>1993.74</v>
      </c>
      <c r="BN36" s="120">
        <f t="shared" si="91"/>
        <v>5337.42</v>
      </c>
      <c r="BO36" s="120">
        <f t="shared" si="91"/>
        <v>3228.42</v>
      </c>
      <c r="BP36" s="120">
        <f t="shared" si="91"/>
        <v>1968.87</v>
      </c>
      <c r="BQ36" s="22">
        <f t="shared" si="91"/>
        <v>115.25999999999988</v>
      </c>
      <c r="BR36" s="22">
        <f t="shared" si="91"/>
        <v>24.870000000000118</v>
      </c>
      <c r="BS36" s="22">
        <f t="shared" si="91"/>
        <v>293.5</v>
      </c>
      <c r="BT36" s="22">
        <f t="shared" si="91"/>
        <v>178.99</v>
      </c>
      <c r="BU36" s="22">
        <f t="shared" si="91"/>
        <v>280</v>
      </c>
      <c r="BV36" s="22">
        <f t="shared" si="91"/>
        <v>300</v>
      </c>
      <c r="BW36" s="22">
        <f t="shared" si="91"/>
        <v>0</v>
      </c>
      <c r="BX36" s="22">
        <f t="shared" si="91"/>
        <v>104.03</v>
      </c>
      <c r="BY36" s="22">
        <f t="shared" si="91"/>
        <v>0</v>
      </c>
      <c r="BZ36" s="22">
        <f t="shared" si="91"/>
        <v>0</v>
      </c>
      <c r="CA36" s="22">
        <f t="shared" si="91"/>
        <v>3623.68</v>
      </c>
      <c r="CB36" s="22">
        <f t="shared" si="91"/>
        <v>2397.77</v>
      </c>
    </row>
    <row r="37" spans="1:80" ht="18" x14ac:dyDescent="0.3">
      <c r="A37" s="13">
        <v>25</v>
      </c>
      <c r="B37" s="13"/>
      <c r="C37" s="14"/>
      <c r="D37" s="15" t="s">
        <v>54</v>
      </c>
      <c r="E37" s="16"/>
      <c r="F37" s="82">
        <v>454.27000000000004</v>
      </c>
      <c r="G37" s="82">
        <v>6</v>
      </c>
      <c r="H37" s="82">
        <v>454.27000000000004</v>
      </c>
      <c r="I37" s="17">
        <v>6</v>
      </c>
      <c r="J37" s="102">
        <v>454.27</v>
      </c>
      <c r="K37" s="103">
        <v>0</v>
      </c>
      <c r="L37" s="103">
        <v>0</v>
      </c>
      <c r="M37" s="103">
        <f>J37+L37+K37</f>
        <v>454.27</v>
      </c>
      <c r="N37" s="103">
        <v>0</v>
      </c>
      <c r="O37" s="103">
        <v>0</v>
      </c>
      <c r="P37" s="103">
        <v>0</v>
      </c>
      <c r="Q37" s="103">
        <f>+N37+P37+O37</f>
        <v>0</v>
      </c>
      <c r="R37" s="103">
        <f>+Q37+M37</f>
        <v>454.27</v>
      </c>
      <c r="S37" s="103">
        <v>6</v>
      </c>
      <c r="V37" s="17">
        <f t="shared" ref="V37:V38" si="92">ROUND(H37*1.0583,2)</f>
        <v>480.75</v>
      </c>
      <c r="W37" s="17">
        <f t="shared" ref="W37:W38" si="93">ROUND(I37*1.0327,2)</f>
        <v>6.2</v>
      </c>
      <c r="X37" s="111">
        <f t="shared" si="2"/>
        <v>-26.480000000000018</v>
      </c>
      <c r="Y37" s="111">
        <f t="shared" si="3"/>
        <v>-0.20000000000000018</v>
      </c>
      <c r="Z37" s="118">
        <v>480</v>
      </c>
      <c r="AA37" s="118"/>
      <c r="AB37" s="118">
        <f t="shared" si="4"/>
        <v>480</v>
      </c>
      <c r="AC37" s="111">
        <f t="shared" si="5"/>
        <v>0</v>
      </c>
      <c r="AD37" s="110">
        <v>480</v>
      </c>
      <c r="AE37" s="110">
        <f>IF(Y37&gt;0,W37,S37)</f>
        <v>6</v>
      </c>
      <c r="AF37" s="110">
        <f t="shared" si="6"/>
        <v>5.41</v>
      </c>
      <c r="AG37" s="110">
        <f t="shared" si="7"/>
        <v>120</v>
      </c>
      <c r="AH37" s="110">
        <f t="shared" si="33"/>
        <v>2</v>
      </c>
      <c r="AI37" s="129">
        <f t="shared" si="8"/>
        <v>40</v>
      </c>
      <c r="AJ37" s="110">
        <f t="shared" si="9"/>
        <v>1</v>
      </c>
      <c r="AM37" s="110">
        <f t="shared" si="10"/>
        <v>120</v>
      </c>
      <c r="AN37" s="110">
        <f t="shared" si="11"/>
        <v>1.46</v>
      </c>
      <c r="AQ37" s="110">
        <f t="shared" si="12"/>
        <v>240</v>
      </c>
      <c r="AR37" s="110">
        <f t="shared" si="13"/>
        <v>3.46</v>
      </c>
      <c r="AU37" s="110">
        <f t="shared" si="0"/>
        <v>120</v>
      </c>
      <c r="AV37" s="110">
        <f t="shared" si="87"/>
        <v>1.5</v>
      </c>
      <c r="AY37" s="110">
        <f t="shared" si="15"/>
        <v>400</v>
      </c>
      <c r="AZ37" s="110">
        <f t="shared" si="16"/>
        <v>5.96</v>
      </c>
      <c r="BA37" s="110">
        <f t="shared" si="17"/>
        <v>405.96</v>
      </c>
      <c r="BB37" s="142">
        <v>380</v>
      </c>
      <c r="BC37" s="142">
        <v>1.1200000000000001</v>
      </c>
      <c r="BD37" s="142">
        <f t="shared" si="18"/>
        <v>20</v>
      </c>
      <c r="BE37" s="142">
        <f t="shared" si="19"/>
        <v>4.84</v>
      </c>
      <c r="BF37" s="142">
        <f t="shared" si="20"/>
        <v>76</v>
      </c>
      <c r="BG37" s="142">
        <f t="shared" si="21"/>
        <v>0.22</v>
      </c>
      <c r="BH37" s="110">
        <v>28</v>
      </c>
      <c r="BI37" s="110">
        <v>0</v>
      </c>
      <c r="BL37" s="110">
        <f t="shared" si="1"/>
        <v>428</v>
      </c>
      <c r="BM37" s="110">
        <f t="shared" si="22"/>
        <v>5.96</v>
      </c>
      <c r="BN37" s="110">
        <f t="shared" si="23"/>
        <v>433.96</v>
      </c>
      <c r="BO37" s="110">
        <v>420</v>
      </c>
      <c r="BP37" s="129">
        <v>1.23</v>
      </c>
      <c r="BQ37" s="110">
        <f t="shared" si="24"/>
        <v>8</v>
      </c>
      <c r="BR37" s="110">
        <f t="shared" si="25"/>
        <v>4.7300000000000004</v>
      </c>
      <c r="BS37" s="110">
        <f t="shared" si="26"/>
        <v>38.18</v>
      </c>
      <c r="BT37" s="110">
        <f t="shared" si="27"/>
        <v>0.11</v>
      </c>
      <c r="BU37" s="110">
        <f t="shared" si="34"/>
        <v>30.18</v>
      </c>
      <c r="BV37" s="110">
        <v>0</v>
      </c>
      <c r="BX37" s="110">
        <f>80+7</f>
        <v>87</v>
      </c>
      <c r="CA37" s="110">
        <f t="shared" si="29"/>
        <v>458.18</v>
      </c>
      <c r="CB37" s="110">
        <f t="shared" si="30"/>
        <v>92.96</v>
      </c>
    </row>
    <row r="38" spans="1:80" ht="18" x14ac:dyDescent="0.3">
      <c r="A38" s="13">
        <v>26</v>
      </c>
      <c r="B38" s="13"/>
      <c r="C38" s="14"/>
      <c r="D38" s="15" t="s">
        <v>55</v>
      </c>
      <c r="E38" s="16"/>
      <c r="F38" s="82">
        <v>0</v>
      </c>
      <c r="G38" s="82">
        <v>0</v>
      </c>
      <c r="H38" s="82">
        <v>0</v>
      </c>
      <c r="I38" s="17">
        <v>0</v>
      </c>
      <c r="J38" s="102">
        <v>0</v>
      </c>
      <c r="K38" s="103">
        <v>0</v>
      </c>
      <c r="L38" s="103">
        <v>0</v>
      </c>
      <c r="M38" s="103">
        <f>J38+L38+K38</f>
        <v>0</v>
      </c>
      <c r="N38" s="103">
        <v>0</v>
      </c>
      <c r="O38" s="103">
        <v>0</v>
      </c>
      <c r="P38" s="103">
        <v>0</v>
      </c>
      <c r="Q38" s="103">
        <f>+N38+P38+O38</f>
        <v>0</v>
      </c>
      <c r="R38" s="103">
        <f>+Q38+M38</f>
        <v>0</v>
      </c>
      <c r="S38" s="103"/>
      <c r="V38" s="17">
        <f t="shared" si="92"/>
        <v>0</v>
      </c>
      <c r="W38" s="17">
        <f t="shared" si="93"/>
        <v>0</v>
      </c>
      <c r="X38" s="110">
        <f t="shared" si="2"/>
        <v>0</v>
      </c>
      <c r="Y38" s="110">
        <f t="shared" si="3"/>
        <v>0</v>
      </c>
      <c r="Z38" s="118">
        <v>0</v>
      </c>
      <c r="AA38" s="118"/>
      <c r="AB38" s="110">
        <f t="shared" si="4"/>
        <v>0</v>
      </c>
      <c r="AC38" s="111">
        <f t="shared" si="5"/>
        <v>0</v>
      </c>
      <c r="AD38" s="110">
        <f>IF(X38&gt;0,V38,R38)</f>
        <v>0</v>
      </c>
      <c r="AE38" s="110">
        <f>IF(Y38&gt;0,W38,S38)</f>
        <v>0</v>
      </c>
      <c r="AF38" s="110">
        <f t="shared" si="6"/>
        <v>0</v>
      </c>
      <c r="AG38" s="110">
        <f t="shared" si="7"/>
        <v>0</v>
      </c>
      <c r="AH38" s="110">
        <f t="shared" si="33"/>
        <v>0</v>
      </c>
      <c r="AI38" s="129">
        <f t="shared" si="8"/>
        <v>0</v>
      </c>
      <c r="AJ38" s="110">
        <f t="shared" si="9"/>
        <v>0</v>
      </c>
      <c r="AM38" s="110">
        <f t="shared" si="10"/>
        <v>0</v>
      </c>
      <c r="AN38" s="110">
        <f t="shared" si="11"/>
        <v>0</v>
      </c>
      <c r="AQ38" s="110">
        <f t="shared" si="12"/>
        <v>0</v>
      </c>
      <c r="AR38" s="110">
        <f t="shared" si="13"/>
        <v>0</v>
      </c>
      <c r="AU38" s="110">
        <f t="shared" si="0"/>
        <v>0</v>
      </c>
      <c r="AV38" s="110">
        <f t="shared" si="87"/>
        <v>0</v>
      </c>
      <c r="AY38" s="110">
        <f t="shared" si="15"/>
        <v>0</v>
      </c>
      <c r="AZ38" s="110">
        <f t="shared" si="16"/>
        <v>0</v>
      </c>
      <c r="BA38" s="110">
        <f t="shared" si="17"/>
        <v>0</v>
      </c>
      <c r="BB38" s="142">
        <v>0</v>
      </c>
      <c r="BD38" s="142">
        <f t="shared" si="18"/>
        <v>0</v>
      </c>
      <c r="BE38" s="142">
        <f t="shared" si="19"/>
        <v>0</v>
      </c>
      <c r="BF38" s="142">
        <f t="shared" si="20"/>
        <v>0</v>
      </c>
      <c r="BG38" s="142">
        <f t="shared" si="21"/>
        <v>0</v>
      </c>
      <c r="BH38" s="110">
        <v>0</v>
      </c>
      <c r="BI38" s="110">
        <v>0</v>
      </c>
      <c r="BL38" s="110">
        <f t="shared" si="1"/>
        <v>0</v>
      </c>
      <c r="BM38" s="110">
        <f t="shared" si="22"/>
        <v>0</v>
      </c>
      <c r="BN38" s="110">
        <f t="shared" si="23"/>
        <v>0</v>
      </c>
      <c r="BP38" s="129"/>
      <c r="BQ38" s="110">
        <f t="shared" si="24"/>
        <v>0</v>
      </c>
      <c r="BR38" s="110">
        <f t="shared" si="25"/>
        <v>0</v>
      </c>
      <c r="BS38" s="110">
        <f t="shared" si="26"/>
        <v>0</v>
      </c>
      <c r="BT38" s="110">
        <f t="shared" si="27"/>
        <v>0</v>
      </c>
      <c r="BU38" s="110">
        <f t="shared" si="34"/>
        <v>0</v>
      </c>
      <c r="BV38" s="110">
        <f t="shared" ref="BV38:BV74" si="94">ROUND(BT38-BR38,2)</f>
        <v>0</v>
      </c>
      <c r="CA38" s="110">
        <f t="shared" si="29"/>
        <v>0</v>
      </c>
      <c r="CB38" s="110">
        <f t="shared" si="30"/>
        <v>0</v>
      </c>
    </row>
    <row r="39" spans="1:80" ht="18" x14ac:dyDescent="0.3">
      <c r="A39" s="18"/>
      <c r="B39" s="18" t="s">
        <v>56</v>
      </c>
      <c r="C39" s="19" t="s">
        <v>45</v>
      </c>
      <c r="D39" s="20" t="s">
        <v>54</v>
      </c>
      <c r="E39" s="21" t="s">
        <v>57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9">
        <f t="shared" ref="J39:AA39" si="95">+J37+J38</f>
        <v>454.27</v>
      </c>
      <c r="K39" s="89">
        <f t="shared" si="95"/>
        <v>0</v>
      </c>
      <c r="L39" s="89">
        <f t="shared" si="95"/>
        <v>0</v>
      </c>
      <c r="M39" s="89">
        <f t="shared" si="95"/>
        <v>454.27</v>
      </c>
      <c r="N39" s="89">
        <f t="shared" si="95"/>
        <v>0</v>
      </c>
      <c r="O39" s="89">
        <f t="shared" si="95"/>
        <v>0</v>
      </c>
      <c r="P39" s="89">
        <f t="shared" si="95"/>
        <v>0</v>
      </c>
      <c r="Q39" s="89">
        <f t="shared" si="95"/>
        <v>0</v>
      </c>
      <c r="R39" s="89">
        <f t="shared" si="95"/>
        <v>454.27</v>
      </c>
      <c r="S39" s="89">
        <f t="shared" si="95"/>
        <v>6</v>
      </c>
      <c r="T39" s="89">
        <f t="shared" si="95"/>
        <v>0</v>
      </c>
      <c r="U39" s="89">
        <f t="shared" si="95"/>
        <v>0</v>
      </c>
      <c r="V39" s="89">
        <f t="shared" si="95"/>
        <v>480.75</v>
      </c>
      <c r="W39" s="89">
        <f t="shared" si="95"/>
        <v>6.2</v>
      </c>
      <c r="X39" s="89">
        <f t="shared" si="95"/>
        <v>-26.480000000000018</v>
      </c>
      <c r="Y39" s="89">
        <f t="shared" si="95"/>
        <v>-0.20000000000000018</v>
      </c>
      <c r="Z39" s="89">
        <f t="shared" si="95"/>
        <v>480</v>
      </c>
      <c r="AA39" s="89">
        <f t="shared" si="95"/>
        <v>0</v>
      </c>
      <c r="AB39" s="22">
        <f t="shared" si="4"/>
        <v>480</v>
      </c>
      <c r="AC39" s="111">
        <f t="shared" si="5"/>
        <v>0</v>
      </c>
      <c r="AD39" s="22">
        <f t="shared" ref="AD39:CB39" si="96">+AD37+AD38</f>
        <v>480</v>
      </c>
      <c r="AE39" s="22">
        <f t="shared" si="96"/>
        <v>6</v>
      </c>
      <c r="AF39" s="22">
        <f t="shared" si="96"/>
        <v>5.41</v>
      </c>
      <c r="AG39" s="22">
        <f t="shared" si="96"/>
        <v>120</v>
      </c>
      <c r="AH39" s="22">
        <f t="shared" si="96"/>
        <v>2</v>
      </c>
      <c r="AI39" s="120">
        <f t="shared" si="96"/>
        <v>40</v>
      </c>
      <c r="AJ39" s="22">
        <f t="shared" si="96"/>
        <v>1</v>
      </c>
      <c r="AK39" s="22">
        <f t="shared" si="96"/>
        <v>0</v>
      </c>
      <c r="AL39" s="22">
        <f t="shared" si="96"/>
        <v>0</v>
      </c>
      <c r="AM39" s="22">
        <f t="shared" si="96"/>
        <v>120</v>
      </c>
      <c r="AN39" s="22">
        <f t="shared" si="96"/>
        <v>1.46</v>
      </c>
      <c r="AO39" s="22">
        <f t="shared" si="96"/>
        <v>0</v>
      </c>
      <c r="AP39" s="22">
        <f t="shared" si="96"/>
        <v>0</v>
      </c>
      <c r="AQ39" s="22">
        <f t="shared" si="96"/>
        <v>240</v>
      </c>
      <c r="AR39" s="22">
        <f t="shared" si="96"/>
        <v>3.46</v>
      </c>
      <c r="AS39" s="22">
        <f t="shared" si="96"/>
        <v>0</v>
      </c>
      <c r="AT39" s="22">
        <f t="shared" si="96"/>
        <v>0</v>
      </c>
      <c r="AU39" s="22">
        <f t="shared" si="96"/>
        <v>120</v>
      </c>
      <c r="AV39" s="22">
        <f t="shared" si="96"/>
        <v>1.5</v>
      </c>
      <c r="AW39" s="22">
        <f t="shared" si="96"/>
        <v>0</v>
      </c>
      <c r="AX39" s="22">
        <f t="shared" si="96"/>
        <v>0</v>
      </c>
      <c r="AY39" s="22">
        <f t="shared" si="96"/>
        <v>400</v>
      </c>
      <c r="AZ39" s="22">
        <f t="shared" si="96"/>
        <v>5.96</v>
      </c>
      <c r="BA39" s="22">
        <f t="shared" si="96"/>
        <v>405.96</v>
      </c>
      <c r="BB39" s="22">
        <f t="shared" si="96"/>
        <v>380</v>
      </c>
      <c r="BC39" s="22">
        <f t="shared" si="96"/>
        <v>1.1200000000000001</v>
      </c>
      <c r="BD39" s="22">
        <f t="shared" si="96"/>
        <v>20</v>
      </c>
      <c r="BE39" s="22">
        <f t="shared" si="96"/>
        <v>4.84</v>
      </c>
      <c r="BF39" s="22">
        <f t="shared" si="96"/>
        <v>76</v>
      </c>
      <c r="BG39" s="120">
        <f t="shared" si="96"/>
        <v>0.22</v>
      </c>
      <c r="BH39" s="120">
        <f t="shared" si="96"/>
        <v>28</v>
      </c>
      <c r="BI39" s="120">
        <f t="shared" si="96"/>
        <v>0</v>
      </c>
      <c r="BJ39" s="120">
        <f t="shared" si="96"/>
        <v>0</v>
      </c>
      <c r="BK39" s="120">
        <f t="shared" si="96"/>
        <v>0</v>
      </c>
      <c r="BL39" s="120">
        <f t="shared" si="96"/>
        <v>428</v>
      </c>
      <c r="BM39" s="120">
        <f t="shared" si="96"/>
        <v>5.96</v>
      </c>
      <c r="BN39" s="120">
        <f t="shared" si="96"/>
        <v>433.96</v>
      </c>
      <c r="BO39" s="120">
        <f t="shared" si="96"/>
        <v>420</v>
      </c>
      <c r="BP39" s="120">
        <f t="shared" si="96"/>
        <v>1.23</v>
      </c>
      <c r="BQ39" s="22">
        <f t="shared" si="96"/>
        <v>8</v>
      </c>
      <c r="BR39" s="22">
        <f t="shared" si="96"/>
        <v>4.7300000000000004</v>
      </c>
      <c r="BS39" s="22">
        <f t="shared" si="96"/>
        <v>38.18</v>
      </c>
      <c r="BT39" s="22">
        <f t="shared" si="96"/>
        <v>0.11</v>
      </c>
      <c r="BU39" s="22">
        <f t="shared" si="96"/>
        <v>30.18</v>
      </c>
      <c r="BV39" s="22">
        <f t="shared" si="96"/>
        <v>0</v>
      </c>
      <c r="BW39" s="22">
        <f t="shared" si="96"/>
        <v>0</v>
      </c>
      <c r="BX39" s="22">
        <f t="shared" si="96"/>
        <v>87</v>
      </c>
      <c r="BY39" s="22">
        <f t="shared" si="96"/>
        <v>0</v>
      </c>
      <c r="BZ39" s="22">
        <f t="shared" si="96"/>
        <v>0</v>
      </c>
      <c r="CA39" s="22">
        <f t="shared" si="96"/>
        <v>458.18</v>
      </c>
      <c r="CB39" s="22">
        <f t="shared" si="96"/>
        <v>92.96</v>
      </c>
    </row>
    <row r="40" spans="1:80" ht="18" x14ac:dyDescent="0.3">
      <c r="A40" s="13">
        <v>27</v>
      </c>
      <c r="B40" s="13"/>
      <c r="C40" s="14"/>
      <c r="D40" s="15" t="s">
        <v>58</v>
      </c>
      <c r="E40" s="16"/>
      <c r="F40" s="82">
        <v>4665.62</v>
      </c>
      <c r="G40" s="82">
        <v>3823.63</v>
      </c>
      <c r="H40" s="82">
        <v>4665.62</v>
      </c>
      <c r="I40" s="17">
        <v>3823.63</v>
      </c>
      <c r="J40" s="104">
        <v>5200</v>
      </c>
      <c r="K40" s="88">
        <v>35</v>
      </c>
      <c r="L40" s="88">
        <v>0</v>
      </c>
      <c r="M40" s="88">
        <f t="shared" ref="M40:M42" si="97">J40+K40+L40</f>
        <v>5235</v>
      </c>
      <c r="N40" s="88">
        <v>0</v>
      </c>
      <c r="O40" s="88">
        <v>0</v>
      </c>
      <c r="P40" s="88">
        <v>0</v>
      </c>
      <c r="Q40" s="88">
        <f t="shared" ref="Q40:Q48" si="98">N40+O40+P40</f>
        <v>0</v>
      </c>
      <c r="R40" s="88">
        <f t="shared" ref="R40:R84" si="99">Q40+M40</f>
        <v>5235</v>
      </c>
      <c r="S40" s="88">
        <v>4800</v>
      </c>
      <c r="V40" s="17">
        <f t="shared" ref="V40:V41" si="100">ROUND(H40*1.0583,2)</f>
        <v>4937.63</v>
      </c>
      <c r="W40" s="17">
        <f t="shared" ref="W40:W41" si="101">ROUND(I40*1.0327,2)</f>
        <v>3948.66</v>
      </c>
      <c r="X40" s="110">
        <f t="shared" si="2"/>
        <v>297.36999999999989</v>
      </c>
      <c r="Y40" s="110">
        <f t="shared" si="3"/>
        <v>851.34000000000015</v>
      </c>
      <c r="Z40" s="110">
        <v>4937.63</v>
      </c>
      <c r="AA40" s="110"/>
      <c r="AB40" s="110">
        <f t="shared" si="4"/>
        <v>4937.63</v>
      </c>
      <c r="AC40" s="111">
        <f t="shared" si="5"/>
        <v>0</v>
      </c>
      <c r="AD40" s="110">
        <f>IF(X40&gt;0,V40,R40)</f>
        <v>4937.63</v>
      </c>
      <c r="AE40" s="110">
        <f>IF(Y40&gt;0,W40,S40)</f>
        <v>3948.66</v>
      </c>
      <c r="AF40" s="110">
        <f t="shared" si="6"/>
        <v>4330.5600000000004</v>
      </c>
      <c r="AG40" s="110">
        <f t="shared" si="7"/>
        <v>1234</v>
      </c>
      <c r="AH40" s="110">
        <f t="shared" si="33"/>
        <v>987</v>
      </c>
      <c r="AI40" s="129">
        <f t="shared" si="8"/>
        <v>411</v>
      </c>
      <c r="AJ40" s="110">
        <f t="shared" si="9"/>
        <v>329</v>
      </c>
      <c r="AM40" s="110">
        <f t="shared" si="10"/>
        <v>1234.4100000000001</v>
      </c>
      <c r="AN40" s="110">
        <f t="shared" si="11"/>
        <v>961.5</v>
      </c>
      <c r="AQ40" s="110">
        <f t="shared" si="12"/>
        <v>2468.41</v>
      </c>
      <c r="AR40" s="110">
        <f t="shared" si="13"/>
        <v>1948.5</v>
      </c>
      <c r="AU40" s="110">
        <f t="shared" si="0"/>
        <v>1234.4100000000001</v>
      </c>
      <c r="AV40" s="110">
        <f t="shared" si="87"/>
        <v>987.17</v>
      </c>
      <c r="AX40" s="146">
        <v>550</v>
      </c>
      <c r="AY40" s="110">
        <f t="shared" si="15"/>
        <v>4113.82</v>
      </c>
      <c r="AZ40" s="110">
        <f t="shared" si="16"/>
        <v>3814.67</v>
      </c>
      <c r="BA40" s="110">
        <f t="shared" si="17"/>
        <v>7928.49</v>
      </c>
      <c r="BB40" s="142">
        <v>3849.4</v>
      </c>
      <c r="BC40" s="142">
        <v>3729.28</v>
      </c>
      <c r="BD40" s="142">
        <f t="shared" si="18"/>
        <v>264.41999999999962</v>
      </c>
      <c r="BE40" s="142">
        <f t="shared" si="19"/>
        <v>85.389999999999873</v>
      </c>
      <c r="BF40" s="142">
        <f t="shared" si="20"/>
        <v>769.88</v>
      </c>
      <c r="BG40" s="142">
        <f t="shared" si="21"/>
        <v>745.86</v>
      </c>
      <c r="BH40" s="110">
        <v>252.73</v>
      </c>
      <c r="BI40" s="110">
        <v>300</v>
      </c>
      <c r="BJ40" s="110">
        <v>100</v>
      </c>
      <c r="BL40" s="110">
        <f t="shared" si="1"/>
        <v>4466.5499999999993</v>
      </c>
      <c r="BM40" s="110">
        <f t="shared" si="22"/>
        <v>4114.67</v>
      </c>
      <c r="BN40" s="110">
        <f t="shared" si="23"/>
        <v>8581.2199999999993</v>
      </c>
      <c r="BO40" s="110">
        <v>4255.45</v>
      </c>
      <c r="BP40" s="129">
        <v>4014.28</v>
      </c>
      <c r="BQ40" s="110">
        <f t="shared" si="24"/>
        <v>211.09999999999945</v>
      </c>
      <c r="BR40" s="110">
        <f t="shared" si="25"/>
        <v>100.38999999999987</v>
      </c>
      <c r="BS40" s="110">
        <f t="shared" si="26"/>
        <v>386.86</v>
      </c>
      <c r="BT40" s="110">
        <f t="shared" si="27"/>
        <v>364.93</v>
      </c>
      <c r="BU40" s="110">
        <v>175.76</v>
      </c>
      <c r="BV40" s="110">
        <f t="shared" si="94"/>
        <v>264.54000000000002</v>
      </c>
      <c r="BW40" s="111">
        <v>180</v>
      </c>
      <c r="BX40" s="110">
        <v>50</v>
      </c>
      <c r="CA40" s="110">
        <f t="shared" si="29"/>
        <v>4822.3099999999995</v>
      </c>
      <c r="CB40" s="110">
        <f t="shared" si="30"/>
        <v>4429.21</v>
      </c>
    </row>
    <row r="41" spans="1:80" ht="18" x14ac:dyDescent="0.3">
      <c r="A41" s="13">
        <v>28</v>
      </c>
      <c r="B41" s="13"/>
      <c r="C41" s="14"/>
      <c r="D41" s="15" t="s">
        <v>59</v>
      </c>
      <c r="E41" s="16"/>
      <c r="F41" s="82">
        <v>234.16</v>
      </c>
      <c r="G41" s="82">
        <v>0</v>
      </c>
      <c r="H41" s="82">
        <v>234.16</v>
      </c>
      <c r="I41" s="17">
        <v>0</v>
      </c>
      <c r="J41" s="87">
        <v>550</v>
      </c>
      <c r="K41" s="88">
        <v>0</v>
      </c>
      <c r="L41" s="88">
        <v>0</v>
      </c>
      <c r="M41" s="88">
        <f t="shared" si="97"/>
        <v>550</v>
      </c>
      <c r="N41" s="88">
        <v>0</v>
      </c>
      <c r="O41" s="88">
        <v>0</v>
      </c>
      <c r="P41" s="88">
        <v>0</v>
      </c>
      <c r="Q41" s="88">
        <f t="shared" si="98"/>
        <v>0</v>
      </c>
      <c r="R41" s="88">
        <f t="shared" si="99"/>
        <v>550</v>
      </c>
      <c r="S41" s="88">
        <v>0</v>
      </c>
      <c r="V41" s="17">
        <f t="shared" si="100"/>
        <v>247.81</v>
      </c>
      <c r="W41" s="17">
        <f t="shared" si="101"/>
        <v>0</v>
      </c>
      <c r="X41" s="110">
        <f t="shared" si="2"/>
        <v>302.19</v>
      </c>
      <c r="Y41" s="110">
        <f t="shared" si="3"/>
        <v>0</v>
      </c>
      <c r="Z41" s="110">
        <v>247.81</v>
      </c>
      <c r="AA41" s="110"/>
      <c r="AB41" s="110">
        <f t="shared" si="4"/>
        <v>247.81</v>
      </c>
      <c r="AC41" s="111">
        <f t="shared" si="5"/>
        <v>0</v>
      </c>
      <c r="AD41" s="110">
        <f t="shared" ref="AD41:AD42" si="102">IF(X41&gt;0,V41,R41)</f>
        <v>247.81</v>
      </c>
      <c r="AE41" s="110">
        <f t="shared" ref="AE41:AE42" si="103">IF(Y41&gt;0,W41,S41)</f>
        <v>0</v>
      </c>
      <c r="AF41" s="110">
        <f t="shared" si="6"/>
        <v>0</v>
      </c>
      <c r="AG41" s="110">
        <f t="shared" si="7"/>
        <v>62</v>
      </c>
      <c r="AH41" s="110">
        <f t="shared" si="33"/>
        <v>0</v>
      </c>
      <c r="AI41" s="129">
        <f t="shared" si="8"/>
        <v>21</v>
      </c>
      <c r="AJ41" s="110">
        <f t="shared" si="9"/>
        <v>0</v>
      </c>
      <c r="AM41" s="110">
        <f t="shared" si="10"/>
        <v>61.95</v>
      </c>
      <c r="AN41" s="110">
        <f t="shared" si="11"/>
        <v>0</v>
      </c>
      <c r="AQ41" s="110">
        <f t="shared" si="12"/>
        <v>123.95</v>
      </c>
      <c r="AR41" s="110">
        <f t="shared" si="13"/>
        <v>0</v>
      </c>
      <c r="AU41" s="110">
        <f t="shared" si="0"/>
        <v>61.95</v>
      </c>
      <c r="AV41" s="110">
        <f t="shared" si="87"/>
        <v>0</v>
      </c>
      <c r="AY41" s="110">
        <f t="shared" si="15"/>
        <v>206.9</v>
      </c>
      <c r="AZ41" s="110">
        <f t="shared" si="16"/>
        <v>0</v>
      </c>
      <c r="BA41" s="110">
        <f t="shared" si="17"/>
        <v>206.9</v>
      </c>
      <c r="BB41" s="142">
        <v>206.9</v>
      </c>
      <c r="BD41" s="142">
        <f t="shared" si="18"/>
        <v>0</v>
      </c>
      <c r="BE41" s="142">
        <f t="shared" si="19"/>
        <v>0</v>
      </c>
      <c r="BF41" s="142">
        <f t="shared" si="20"/>
        <v>41.38</v>
      </c>
      <c r="BG41" s="142">
        <f t="shared" si="21"/>
        <v>0</v>
      </c>
      <c r="BH41" s="110">
        <v>20.69</v>
      </c>
      <c r="BI41" s="110">
        <v>0</v>
      </c>
      <c r="BL41" s="110">
        <f t="shared" si="1"/>
        <v>227.59</v>
      </c>
      <c r="BM41" s="110">
        <f t="shared" si="22"/>
        <v>0</v>
      </c>
      <c r="BN41" s="110">
        <f t="shared" si="23"/>
        <v>227.59</v>
      </c>
      <c r="BO41" s="110">
        <v>206.9</v>
      </c>
      <c r="BP41" s="129"/>
      <c r="BQ41" s="110">
        <f t="shared" si="24"/>
        <v>20.689999999999998</v>
      </c>
      <c r="BR41" s="110">
        <f t="shared" si="25"/>
        <v>0</v>
      </c>
      <c r="BS41" s="110">
        <f t="shared" si="26"/>
        <v>18.809999999999999</v>
      </c>
      <c r="BT41" s="110">
        <f t="shared" si="27"/>
        <v>0</v>
      </c>
      <c r="BU41" s="110">
        <f t="shared" si="34"/>
        <v>-1.879999999999999</v>
      </c>
      <c r="BV41" s="110">
        <f t="shared" si="94"/>
        <v>0</v>
      </c>
      <c r="CA41" s="110">
        <f t="shared" si="29"/>
        <v>225.71</v>
      </c>
      <c r="CB41" s="110">
        <f t="shared" si="30"/>
        <v>0</v>
      </c>
    </row>
    <row r="42" spans="1:80" ht="18" x14ac:dyDescent="0.3">
      <c r="A42" s="13">
        <v>29</v>
      </c>
      <c r="B42" s="13"/>
      <c r="C42" s="14"/>
      <c r="D42" s="15" t="s">
        <v>60</v>
      </c>
      <c r="E42" s="16"/>
      <c r="F42" s="82">
        <v>0</v>
      </c>
      <c r="G42" s="82">
        <v>0</v>
      </c>
      <c r="H42" s="82">
        <v>0</v>
      </c>
      <c r="I42" s="17">
        <v>0</v>
      </c>
      <c r="J42" s="87">
        <v>0</v>
      </c>
      <c r="K42" s="88">
        <v>0</v>
      </c>
      <c r="L42" s="88">
        <v>0</v>
      </c>
      <c r="M42" s="88">
        <f t="shared" si="97"/>
        <v>0</v>
      </c>
      <c r="N42" s="88">
        <v>0</v>
      </c>
      <c r="O42" s="88">
        <v>0</v>
      </c>
      <c r="P42" s="88">
        <v>0</v>
      </c>
      <c r="Q42" s="88">
        <f t="shared" si="98"/>
        <v>0</v>
      </c>
      <c r="R42" s="88">
        <f t="shared" si="99"/>
        <v>0</v>
      </c>
      <c r="S42" s="88">
        <v>0</v>
      </c>
      <c r="V42" s="17">
        <f t="shared" ref="V42" si="104">ROUND(H42*1.0583,2)</f>
        <v>0</v>
      </c>
      <c r="W42" s="17">
        <f t="shared" ref="W42" si="105">ROUND(I42*1.0327,2)</f>
        <v>0</v>
      </c>
      <c r="X42" s="110">
        <f t="shared" si="2"/>
        <v>0</v>
      </c>
      <c r="Y42" s="110">
        <f t="shared" si="3"/>
        <v>0</v>
      </c>
      <c r="Z42" s="110">
        <v>0</v>
      </c>
      <c r="AA42" s="110"/>
      <c r="AB42" s="110">
        <f t="shared" si="4"/>
        <v>0</v>
      </c>
      <c r="AC42" s="111">
        <f t="shared" si="5"/>
        <v>0</v>
      </c>
      <c r="AD42" s="110">
        <f t="shared" si="102"/>
        <v>0</v>
      </c>
      <c r="AE42" s="110">
        <f t="shared" si="103"/>
        <v>0</v>
      </c>
      <c r="AF42" s="110">
        <f t="shared" si="6"/>
        <v>0</v>
      </c>
      <c r="AG42" s="110">
        <f t="shared" si="7"/>
        <v>0</v>
      </c>
      <c r="AH42" s="110">
        <f t="shared" si="33"/>
        <v>0</v>
      </c>
      <c r="AI42" s="129">
        <f t="shared" si="8"/>
        <v>0</v>
      </c>
      <c r="AJ42" s="110">
        <f t="shared" si="9"/>
        <v>0</v>
      </c>
      <c r="AM42" s="110">
        <f t="shared" si="10"/>
        <v>0</v>
      </c>
      <c r="AN42" s="110">
        <f t="shared" si="11"/>
        <v>0</v>
      </c>
      <c r="AQ42" s="110">
        <f t="shared" si="12"/>
        <v>0</v>
      </c>
      <c r="AR42" s="110">
        <f t="shared" si="13"/>
        <v>0</v>
      </c>
      <c r="AU42" s="110">
        <f t="shared" si="0"/>
        <v>0</v>
      </c>
      <c r="AV42" s="110">
        <f t="shared" si="87"/>
        <v>0</v>
      </c>
      <c r="AY42" s="110">
        <f t="shared" si="15"/>
        <v>0</v>
      </c>
      <c r="AZ42" s="110">
        <f t="shared" si="16"/>
        <v>0</v>
      </c>
      <c r="BA42" s="110">
        <f t="shared" si="17"/>
        <v>0</v>
      </c>
      <c r="BB42" s="142">
        <v>0</v>
      </c>
      <c r="BD42" s="142">
        <f t="shared" si="18"/>
        <v>0</v>
      </c>
      <c r="BE42" s="142">
        <f t="shared" si="19"/>
        <v>0</v>
      </c>
      <c r="BF42" s="142">
        <f t="shared" si="20"/>
        <v>0</v>
      </c>
      <c r="BG42" s="142">
        <f t="shared" si="21"/>
        <v>0</v>
      </c>
      <c r="BH42" s="110">
        <v>0</v>
      </c>
      <c r="BI42" s="110">
        <v>0</v>
      </c>
      <c r="BL42" s="110">
        <f t="shared" si="1"/>
        <v>0</v>
      </c>
      <c r="BM42" s="110">
        <f t="shared" si="22"/>
        <v>0</v>
      </c>
      <c r="BN42" s="110">
        <f t="shared" si="23"/>
        <v>0</v>
      </c>
      <c r="BP42" s="129"/>
      <c r="BQ42" s="110">
        <f t="shared" si="24"/>
        <v>0</v>
      </c>
      <c r="BR42" s="110">
        <f t="shared" si="25"/>
        <v>0</v>
      </c>
      <c r="BS42" s="110">
        <f t="shared" si="26"/>
        <v>0</v>
      </c>
      <c r="BT42" s="110">
        <f t="shared" si="27"/>
        <v>0</v>
      </c>
      <c r="BU42" s="110">
        <f t="shared" si="34"/>
        <v>0</v>
      </c>
      <c r="BV42" s="110">
        <f t="shared" si="94"/>
        <v>0</v>
      </c>
      <c r="CA42" s="110">
        <f t="shared" si="29"/>
        <v>0</v>
      </c>
      <c r="CB42" s="110">
        <f t="shared" si="30"/>
        <v>0</v>
      </c>
    </row>
    <row r="43" spans="1:80" ht="18" x14ac:dyDescent="0.3">
      <c r="A43" s="18"/>
      <c r="B43" s="18" t="s">
        <v>61</v>
      </c>
      <c r="C43" s="19" t="s">
        <v>40</v>
      </c>
      <c r="D43" s="20" t="s">
        <v>58</v>
      </c>
      <c r="E43" s="21" t="s">
        <v>62</v>
      </c>
      <c r="F43" s="22">
        <v>4899.78</v>
      </c>
      <c r="G43" s="22">
        <v>3823.63</v>
      </c>
      <c r="H43" s="22">
        <v>4899.78</v>
      </c>
      <c r="I43" s="22">
        <v>3823.63</v>
      </c>
      <c r="J43" s="89">
        <f t="shared" ref="J43:AA43" si="106">+J40+J41+J42</f>
        <v>5750</v>
      </c>
      <c r="K43" s="89">
        <f t="shared" si="106"/>
        <v>35</v>
      </c>
      <c r="L43" s="89">
        <f t="shared" si="106"/>
        <v>0</v>
      </c>
      <c r="M43" s="89">
        <f t="shared" si="106"/>
        <v>5785</v>
      </c>
      <c r="N43" s="89">
        <f t="shared" si="106"/>
        <v>0</v>
      </c>
      <c r="O43" s="89">
        <f t="shared" si="106"/>
        <v>0</v>
      </c>
      <c r="P43" s="89">
        <f t="shared" si="106"/>
        <v>0</v>
      </c>
      <c r="Q43" s="89">
        <f t="shared" si="106"/>
        <v>0</v>
      </c>
      <c r="R43" s="89">
        <f t="shared" si="106"/>
        <v>5785</v>
      </c>
      <c r="S43" s="89">
        <f t="shared" si="106"/>
        <v>4800</v>
      </c>
      <c r="T43" s="89">
        <f t="shared" si="106"/>
        <v>0</v>
      </c>
      <c r="U43" s="89">
        <f t="shared" si="106"/>
        <v>0</v>
      </c>
      <c r="V43" s="89">
        <f t="shared" si="106"/>
        <v>5185.4400000000005</v>
      </c>
      <c r="W43" s="89">
        <f t="shared" si="106"/>
        <v>3948.66</v>
      </c>
      <c r="X43" s="89">
        <f t="shared" si="106"/>
        <v>599.55999999999995</v>
      </c>
      <c r="Y43" s="89">
        <f t="shared" si="106"/>
        <v>851.34000000000015</v>
      </c>
      <c r="Z43" s="89">
        <f t="shared" si="106"/>
        <v>5185.4400000000005</v>
      </c>
      <c r="AA43" s="89">
        <f t="shared" si="106"/>
        <v>0</v>
      </c>
      <c r="AB43" s="22">
        <f t="shared" si="4"/>
        <v>5185.4400000000005</v>
      </c>
      <c r="AC43" s="111">
        <f t="shared" si="5"/>
        <v>0</v>
      </c>
      <c r="AD43" s="22">
        <f t="shared" ref="AD43:BM43" si="107">+AD40+AD41+AD42</f>
        <v>5185.4400000000005</v>
      </c>
      <c r="AE43" s="22">
        <f t="shared" si="107"/>
        <v>3948.66</v>
      </c>
      <c r="AF43" s="22">
        <f t="shared" si="107"/>
        <v>4330.5600000000004</v>
      </c>
      <c r="AG43" s="22">
        <f t="shared" si="107"/>
        <v>1296</v>
      </c>
      <c r="AH43" s="22">
        <f t="shared" si="107"/>
        <v>987</v>
      </c>
      <c r="AI43" s="120">
        <f t="shared" si="107"/>
        <v>432</v>
      </c>
      <c r="AJ43" s="22">
        <f t="shared" si="107"/>
        <v>329</v>
      </c>
      <c r="AK43" s="22">
        <f t="shared" si="107"/>
        <v>0</v>
      </c>
      <c r="AL43" s="22">
        <f t="shared" si="107"/>
        <v>0</v>
      </c>
      <c r="AM43" s="22">
        <f t="shared" si="107"/>
        <v>1296.3600000000001</v>
      </c>
      <c r="AN43" s="22">
        <f t="shared" si="107"/>
        <v>961.5</v>
      </c>
      <c r="AO43" s="22">
        <f t="shared" si="107"/>
        <v>0</v>
      </c>
      <c r="AP43" s="22">
        <f t="shared" si="107"/>
        <v>0</v>
      </c>
      <c r="AQ43" s="22">
        <f t="shared" si="107"/>
        <v>2592.3599999999997</v>
      </c>
      <c r="AR43" s="22">
        <f t="shared" si="107"/>
        <v>1948.5</v>
      </c>
      <c r="AS43" s="22">
        <f t="shared" si="107"/>
        <v>0</v>
      </c>
      <c r="AT43" s="22">
        <f t="shared" si="107"/>
        <v>0</v>
      </c>
      <c r="AU43" s="22">
        <f t="shared" si="107"/>
        <v>1296.3600000000001</v>
      </c>
      <c r="AV43" s="22">
        <f t="shared" si="107"/>
        <v>987.17</v>
      </c>
      <c r="AW43" s="22">
        <f t="shared" si="107"/>
        <v>0</v>
      </c>
      <c r="AX43" s="22">
        <f t="shared" si="107"/>
        <v>550</v>
      </c>
      <c r="AY43" s="22">
        <f t="shared" si="107"/>
        <v>4320.7199999999993</v>
      </c>
      <c r="AZ43" s="22">
        <f t="shared" si="107"/>
        <v>3814.67</v>
      </c>
      <c r="BA43" s="22">
        <f t="shared" si="107"/>
        <v>8135.3899999999994</v>
      </c>
      <c r="BB43" s="22">
        <f t="shared" si="107"/>
        <v>4056.3</v>
      </c>
      <c r="BC43" s="22">
        <f t="shared" si="107"/>
        <v>3729.28</v>
      </c>
      <c r="BD43" s="22">
        <f t="shared" si="107"/>
        <v>264.41999999999962</v>
      </c>
      <c r="BE43" s="22">
        <f t="shared" si="107"/>
        <v>85.389999999999873</v>
      </c>
      <c r="BF43" s="22">
        <f t="shared" si="107"/>
        <v>811.26</v>
      </c>
      <c r="BG43" s="120">
        <f t="shared" si="107"/>
        <v>745.86</v>
      </c>
      <c r="BH43" s="120">
        <f t="shared" si="107"/>
        <v>273.42</v>
      </c>
      <c r="BI43" s="120">
        <f t="shared" si="107"/>
        <v>300</v>
      </c>
      <c r="BJ43" s="120">
        <f t="shared" si="107"/>
        <v>100</v>
      </c>
      <c r="BK43" s="120">
        <f t="shared" si="107"/>
        <v>0</v>
      </c>
      <c r="BL43" s="120">
        <f t="shared" si="107"/>
        <v>4694.1399999999994</v>
      </c>
      <c r="BM43" s="120">
        <f t="shared" si="107"/>
        <v>4114.67</v>
      </c>
      <c r="BN43" s="120">
        <f t="shared" ref="BN43:CB43" si="108">+BN40+BN41+BN42</f>
        <v>8808.81</v>
      </c>
      <c r="BO43" s="120">
        <f t="shared" si="108"/>
        <v>4462.3499999999995</v>
      </c>
      <c r="BP43" s="120">
        <f t="shared" si="108"/>
        <v>4014.28</v>
      </c>
      <c r="BQ43" s="120">
        <f t="shared" si="108"/>
        <v>231.78999999999945</v>
      </c>
      <c r="BR43" s="120">
        <f t="shared" si="108"/>
        <v>100.38999999999987</v>
      </c>
      <c r="BS43" s="120">
        <f t="shared" si="108"/>
        <v>405.67</v>
      </c>
      <c r="BT43" s="120">
        <f t="shared" si="108"/>
        <v>364.93</v>
      </c>
      <c r="BU43" s="120">
        <f t="shared" si="108"/>
        <v>173.88</v>
      </c>
      <c r="BV43" s="120">
        <f t="shared" si="108"/>
        <v>264.54000000000002</v>
      </c>
      <c r="BW43" s="120">
        <f t="shared" si="108"/>
        <v>180</v>
      </c>
      <c r="BX43" s="120">
        <f t="shared" si="108"/>
        <v>50</v>
      </c>
      <c r="BY43" s="120">
        <f t="shared" si="108"/>
        <v>0</v>
      </c>
      <c r="BZ43" s="120">
        <f t="shared" si="108"/>
        <v>0</v>
      </c>
      <c r="CA43" s="120">
        <f t="shared" si="108"/>
        <v>5048.0199999999995</v>
      </c>
      <c r="CB43" s="120">
        <f t="shared" si="108"/>
        <v>4429.21</v>
      </c>
    </row>
    <row r="44" spans="1:80" ht="18" x14ac:dyDescent="0.3">
      <c r="A44" s="18">
        <v>30</v>
      </c>
      <c r="B44" s="18" t="s">
        <v>63</v>
      </c>
      <c r="C44" s="19" t="s">
        <v>64</v>
      </c>
      <c r="D44" s="20" t="s">
        <v>65</v>
      </c>
      <c r="E44" s="21" t="s">
        <v>66</v>
      </c>
      <c r="F44" s="82">
        <v>3011.3900000000003</v>
      </c>
      <c r="G44" s="82">
        <v>350.65999999999997</v>
      </c>
      <c r="H44" s="82">
        <v>3011.3900000000003</v>
      </c>
      <c r="I44" s="22">
        <v>350.65999999999997</v>
      </c>
      <c r="J44" s="89">
        <v>3321</v>
      </c>
      <c r="K44" s="89">
        <v>490</v>
      </c>
      <c r="L44" s="89">
        <v>0</v>
      </c>
      <c r="M44" s="89">
        <f>J44+K44+L44</f>
        <v>3811</v>
      </c>
      <c r="N44" s="89">
        <v>0</v>
      </c>
      <c r="O44" s="89">
        <v>0</v>
      </c>
      <c r="P44" s="89">
        <v>0</v>
      </c>
      <c r="Q44" s="89">
        <f t="shared" si="98"/>
        <v>0</v>
      </c>
      <c r="R44" s="89">
        <f t="shared" si="99"/>
        <v>3811</v>
      </c>
      <c r="S44" s="89">
        <v>401.87</v>
      </c>
      <c r="V44" s="22">
        <f t="shared" ref="V44" si="109">ROUND(H44*1.0583,2)</f>
        <v>3186.95</v>
      </c>
      <c r="W44" s="17">
        <f t="shared" ref="W44" si="110">ROUND(I44*1.0327,2)</f>
        <v>362.13</v>
      </c>
      <c r="X44" s="22">
        <f t="shared" si="2"/>
        <v>624.05000000000018</v>
      </c>
      <c r="Y44" s="22">
        <f t="shared" si="3"/>
        <v>39.740000000000009</v>
      </c>
      <c r="Z44" s="22">
        <v>3186.95</v>
      </c>
      <c r="AA44" s="22"/>
      <c r="AB44" s="22">
        <f t="shared" si="4"/>
        <v>3186.95</v>
      </c>
      <c r="AC44" s="111">
        <f t="shared" si="5"/>
        <v>0</v>
      </c>
      <c r="AD44" s="22">
        <f t="shared" ref="AD44:AE46" si="111">IF(X44&gt;0,V44,R44)</f>
        <v>3186.95</v>
      </c>
      <c r="AE44" s="22">
        <f t="shared" si="111"/>
        <v>362.13</v>
      </c>
      <c r="AF44" s="22">
        <f t="shared" si="6"/>
        <v>362.57</v>
      </c>
      <c r="AG44" s="110">
        <f t="shared" si="7"/>
        <v>797</v>
      </c>
      <c r="AH44" s="110">
        <f t="shared" si="33"/>
        <v>91</v>
      </c>
      <c r="AI44" s="129">
        <f t="shared" si="8"/>
        <v>266</v>
      </c>
      <c r="AJ44" s="110">
        <f t="shared" si="9"/>
        <v>30</v>
      </c>
      <c r="AM44" s="110">
        <f t="shared" si="10"/>
        <v>796.74</v>
      </c>
      <c r="AN44" s="141">
        <f>ROUND(AE44*24.35%,2)+11.82+56.5</f>
        <v>156.5</v>
      </c>
      <c r="AO44" s="141"/>
      <c r="AP44" s="141"/>
      <c r="AQ44" s="110">
        <f t="shared" si="12"/>
        <v>1593.74</v>
      </c>
      <c r="AR44" s="110">
        <f t="shared" si="13"/>
        <v>247.5</v>
      </c>
      <c r="AU44" s="118">
        <f t="shared" si="0"/>
        <v>796.74</v>
      </c>
      <c r="AV44" s="118">
        <f t="shared" si="87"/>
        <v>90.53</v>
      </c>
      <c r="AW44" s="118"/>
      <c r="AX44" s="146">
        <v>105</v>
      </c>
      <c r="AY44" s="110">
        <f t="shared" si="15"/>
        <v>2656.48</v>
      </c>
      <c r="AZ44" s="110">
        <f t="shared" si="16"/>
        <v>473.03</v>
      </c>
      <c r="BA44" s="110">
        <f t="shared" si="17"/>
        <v>3129.51</v>
      </c>
      <c r="BB44" s="142">
        <v>2512.08</v>
      </c>
      <c r="BC44" s="142">
        <v>510.9</v>
      </c>
      <c r="BD44" s="142">
        <f t="shared" si="18"/>
        <v>144.40000000000009</v>
      </c>
      <c r="BE44" s="142">
        <f t="shared" si="19"/>
        <v>-37.870000000000005</v>
      </c>
      <c r="BF44" s="142">
        <f t="shared" si="20"/>
        <v>502.42</v>
      </c>
      <c r="BG44" s="142">
        <f t="shared" si="21"/>
        <v>102.18</v>
      </c>
      <c r="BH44" s="110">
        <v>179.01</v>
      </c>
      <c r="BI44" s="111">
        <v>19.7</v>
      </c>
      <c r="BJ44" s="111"/>
      <c r="BK44" s="111"/>
      <c r="BL44" s="110">
        <f t="shared" si="1"/>
        <v>2835.49</v>
      </c>
      <c r="BM44" s="110">
        <f t="shared" si="22"/>
        <v>492.72999999999996</v>
      </c>
      <c r="BN44" s="110">
        <f t="shared" ref="BN44:BN45" si="112">+BJ44+BA44+BL44</f>
        <v>5965</v>
      </c>
      <c r="BO44" s="110">
        <v>2820.47</v>
      </c>
      <c r="BP44" s="129">
        <v>478.74</v>
      </c>
      <c r="BQ44" s="110">
        <f t="shared" si="24"/>
        <v>15.019999999999982</v>
      </c>
      <c r="BR44" s="110">
        <f t="shared" si="25"/>
        <v>13.989999999999952</v>
      </c>
      <c r="BS44" s="110">
        <f t="shared" si="26"/>
        <v>256.41000000000003</v>
      </c>
      <c r="BT44" s="110">
        <f t="shared" si="27"/>
        <v>43.52</v>
      </c>
      <c r="BU44" s="110">
        <f t="shared" si="34"/>
        <v>241.39000000000004</v>
      </c>
      <c r="BV44" s="110">
        <v>10</v>
      </c>
      <c r="BW44" s="111">
        <v>130</v>
      </c>
      <c r="CA44" s="110">
        <f t="shared" si="29"/>
        <v>3206.8799999999997</v>
      </c>
      <c r="CB44" s="110">
        <f t="shared" si="30"/>
        <v>502.72999999999996</v>
      </c>
    </row>
    <row r="45" spans="1:80" ht="18" x14ac:dyDescent="0.3">
      <c r="A45" s="18">
        <v>31</v>
      </c>
      <c r="B45" s="18" t="s">
        <v>67</v>
      </c>
      <c r="C45" s="19" t="s">
        <v>68</v>
      </c>
      <c r="D45" s="20" t="s">
        <v>69</v>
      </c>
      <c r="E45" s="21" t="s">
        <v>70</v>
      </c>
      <c r="F45" s="82">
        <v>1255.0000000000002</v>
      </c>
      <c r="G45" s="82">
        <v>95.45</v>
      </c>
      <c r="H45" s="82">
        <v>1260.0000000000002</v>
      </c>
      <c r="I45" s="22">
        <v>95.45</v>
      </c>
      <c r="J45" s="89">
        <v>1400</v>
      </c>
      <c r="K45" s="89">
        <v>50</v>
      </c>
      <c r="L45" s="89">
        <v>0</v>
      </c>
      <c r="M45" s="89">
        <f>J45+K45+L45</f>
        <v>1450</v>
      </c>
      <c r="N45" s="89">
        <v>0</v>
      </c>
      <c r="O45" s="89">
        <v>0</v>
      </c>
      <c r="P45" s="89">
        <v>0</v>
      </c>
      <c r="Q45" s="89">
        <f t="shared" si="98"/>
        <v>0</v>
      </c>
      <c r="R45" s="89">
        <f t="shared" si="99"/>
        <v>1450</v>
      </c>
      <c r="S45" s="89">
        <v>200</v>
      </c>
      <c r="V45" s="22">
        <f t="shared" ref="V45:V48" si="113">ROUND(H45*1.0583,2)</f>
        <v>1333.46</v>
      </c>
      <c r="W45" s="17">
        <f t="shared" ref="W45:W48" si="114">ROUND(I45*1.0327,2)</f>
        <v>98.57</v>
      </c>
      <c r="X45" s="22">
        <f t="shared" si="2"/>
        <v>116.53999999999996</v>
      </c>
      <c r="Y45" s="22">
        <f t="shared" si="3"/>
        <v>101.43</v>
      </c>
      <c r="Z45" s="22">
        <v>1333.46</v>
      </c>
      <c r="AA45" s="22"/>
      <c r="AB45" s="22">
        <f t="shared" si="4"/>
        <v>1333.46</v>
      </c>
      <c r="AC45" s="111">
        <f t="shared" si="5"/>
        <v>0</v>
      </c>
      <c r="AD45" s="22">
        <f t="shared" si="111"/>
        <v>1333.46</v>
      </c>
      <c r="AE45" s="22">
        <f t="shared" si="111"/>
        <v>98.57</v>
      </c>
      <c r="AF45" s="22">
        <f t="shared" si="6"/>
        <v>180.44</v>
      </c>
      <c r="AG45" s="110">
        <f t="shared" si="7"/>
        <v>333</v>
      </c>
      <c r="AH45" s="110">
        <f t="shared" si="33"/>
        <v>25</v>
      </c>
      <c r="AI45" s="129">
        <f t="shared" si="8"/>
        <v>111</v>
      </c>
      <c r="AJ45" s="110">
        <f t="shared" si="9"/>
        <v>8</v>
      </c>
      <c r="AM45" s="110">
        <f t="shared" si="10"/>
        <v>333.37</v>
      </c>
      <c r="AN45" s="110">
        <f t="shared" si="11"/>
        <v>24</v>
      </c>
      <c r="AQ45" s="110">
        <f t="shared" si="12"/>
        <v>666.37</v>
      </c>
      <c r="AR45" s="110">
        <f t="shared" si="13"/>
        <v>49</v>
      </c>
      <c r="AU45" s="118">
        <f t="shared" si="0"/>
        <v>333.37</v>
      </c>
      <c r="AV45" s="118">
        <f>48+42</f>
        <v>90</v>
      </c>
      <c r="AW45" s="118"/>
      <c r="AX45" s="118"/>
      <c r="AY45" s="110">
        <f t="shared" si="15"/>
        <v>1110.74</v>
      </c>
      <c r="AZ45" s="110">
        <f t="shared" si="16"/>
        <v>147</v>
      </c>
      <c r="BA45" s="110">
        <f t="shared" si="17"/>
        <v>1257.74</v>
      </c>
      <c r="BB45" s="142">
        <v>1097.95</v>
      </c>
      <c r="BC45" s="142">
        <v>140.24</v>
      </c>
      <c r="BD45" s="142">
        <f t="shared" si="18"/>
        <v>12.789999999999964</v>
      </c>
      <c r="BE45" s="142">
        <f t="shared" si="19"/>
        <v>6.7599999999999909</v>
      </c>
      <c r="BF45" s="142">
        <f t="shared" si="20"/>
        <v>219.59</v>
      </c>
      <c r="BG45" s="142">
        <f t="shared" si="21"/>
        <v>28.05</v>
      </c>
      <c r="BH45" s="146">
        <v>112.1</v>
      </c>
      <c r="BI45" s="146">
        <v>40</v>
      </c>
      <c r="BJ45" s="146"/>
      <c r="BK45" s="146"/>
      <c r="BL45" s="110">
        <f t="shared" si="1"/>
        <v>1222.8399999999999</v>
      </c>
      <c r="BM45" s="110">
        <f t="shared" si="22"/>
        <v>187</v>
      </c>
      <c r="BN45" s="110">
        <f t="shared" si="112"/>
        <v>2480.58</v>
      </c>
      <c r="BO45" s="110">
        <v>1131.9100000000001</v>
      </c>
      <c r="BP45" s="129">
        <v>152.53</v>
      </c>
      <c r="BQ45" s="110">
        <f t="shared" si="24"/>
        <v>90.929999999999836</v>
      </c>
      <c r="BR45" s="110">
        <f t="shared" si="25"/>
        <v>34.47</v>
      </c>
      <c r="BS45" s="110">
        <f t="shared" si="26"/>
        <v>102.9</v>
      </c>
      <c r="BT45" s="110">
        <f t="shared" si="27"/>
        <v>13.87</v>
      </c>
      <c r="BU45" s="111">
        <v>0</v>
      </c>
      <c r="BV45" s="110">
        <v>0</v>
      </c>
      <c r="BW45" s="111">
        <f>112.1+7.19</f>
        <v>119.28999999999999</v>
      </c>
      <c r="BX45" s="110">
        <v>40</v>
      </c>
      <c r="CA45" s="110">
        <f t="shared" si="29"/>
        <v>1342.1299999999999</v>
      </c>
      <c r="CB45" s="110">
        <f t="shared" si="30"/>
        <v>227</v>
      </c>
    </row>
    <row r="46" spans="1:80" ht="18" x14ac:dyDescent="0.3">
      <c r="A46" s="37">
        <v>32</v>
      </c>
      <c r="B46" s="37"/>
      <c r="C46" s="38"/>
      <c r="D46" s="39" t="s">
        <v>71</v>
      </c>
      <c r="E46" s="40"/>
      <c r="F46" s="82">
        <v>792.64</v>
      </c>
      <c r="G46" s="82">
        <v>217.26</v>
      </c>
      <c r="H46" s="82">
        <v>792.64</v>
      </c>
      <c r="I46" s="41">
        <v>237.26</v>
      </c>
      <c r="J46" s="92">
        <v>950</v>
      </c>
      <c r="K46" s="88">
        <v>0</v>
      </c>
      <c r="L46" s="88">
        <v>0</v>
      </c>
      <c r="M46" s="88">
        <f>J46+K46+L46</f>
        <v>950</v>
      </c>
      <c r="N46" s="88">
        <v>0</v>
      </c>
      <c r="O46" s="88">
        <v>0</v>
      </c>
      <c r="P46" s="88">
        <v>0</v>
      </c>
      <c r="Q46" s="88">
        <f t="shared" si="98"/>
        <v>0</v>
      </c>
      <c r="R46" s="88">
        <f t="shared" si="99"/>
        <v>950</v>
      </c>
      <c r="S46" s="88">
        <v>30</v>
      </c>
      <c r="V46" s="17">
        <f t="shared" si="113"/>
        <v>838.85</v>
      </c>
      <c r="W46" s="17">
        <f t="shared" si="114"/>
        <v>245.02</v>
      </c>
      <c r="X46" s="110">
        <f t="shared" si="2"/>
        <v>111.14999999999998</v>
      </c>
      <c r="Y46" s="111">
        <f t="shared" si="3"/>
        <v>-215.02</v>
      </c>
      <c r="Z46" s="118">
        <v>838.85</v>
      </c>
      <c r="AA46" s="118"/>
      <c r="AB46" s="118">
        <f t="shared" si="4"/>
        <v>838.85</v>
      </c>
      <c r="AC46" s="111">
        <v>0</v>
      </c>
      <c r="AD46" s="110">
        <f t="shared" si="111"/>
        <v>838.85</v>
      </c>
      <c r="AE46" s="110">
        <f t="shared" si="111"/>
        <v>30</v>
      </c>
      <c r="AF46" s="110">
        <f t="shared" si="6"/>
        <v>27.07</v>
      </c>
      <c r="AG46" s="110">
        <f t="shared" si="7"/>
        <v>210</v>
      </c>
      <c r="AH46" s="110">
        <f t="shared" si="33"/>
        <v>8</v>
      </c>
      <c r="AI46" s="129">
        <f t="shared" si="8"/>
        <v>70</v>
      </c>
      <c r="AJ46" s="110">
        <f t="shared" si="9"/>
        <v>3</v>
      </c>
      <c r="AM46" s="110">
        <f t="shared" si="10"/>
        <v>209.71</v>
      </c>
      <c r="AN46" s="110">
        <f t="shared" si="11"/>
        <v>7.31</v>
      </c>
      <c r="AQ46" s="110">
        <f t="shared" si="12"/>
        <v>419.71000000000004</v>
      </c>
      <c r="AR46" s="110">
        <f t="shared" si="13"/>
        <v>15.309999999999999</v>
      </c>
      <c r="AU46" s="118">
        <f t="shared" si="0"/>
        <v>209.71</v>
      </c>
      <c r="AV46" s="118">
        <f>ROUND(AE46*25%,2)</f>
        <v>7.5</v>
      </c>
      <c r="AW46" s="146">
        <v>50</v>
      </c>
      <c r="AX46" s="146">
        <v>3.19</v>
      </c>
      <c r="AY46" s="110">
        <f t="shared" si="15"/>
        <v>749.42000000000007</v>
      </c>
      <c r="AZ46" s="110">
        <f t="shared" si="16"/>
        <v>29</v>
      </c>
      <c r="BA46" s="110">
        <f t="shared" si="17"/>
        <v>778.42000000000007</v>
      </c>
      <c r="BB46" s="142">
        <v>744.49</v>
      </c>
      <c r="BC46" s="142">
        <v>20.81</v>
      </c>
      <c r="BD46" s="142">
        <f t="shared" si="18"/>
        <v>4.9300000000000637</v>
      </c>
      <c r="BE46" s="142">
        <f t="shared" si="19"/>
        <v>8.1900000000000013</v>
      </c>
      <c r="BF46" s="142">
        <f t="shared" si="20"/>
        <v>148.9</v>
      </c>
      <c r="BG46" s="142">
        <f t="shared" si="21"/>
        <v>4.16</v>
      </c>
      <c r="BH46" s="146">
        <v>85.29</v>
      </c>
      <c r="BI46" s="146">
        <v>5.5</v>
      </c>
      <c r="BJ46" s="146"/>
      <c r="BK46" s="146"/>
      <c r="BL46" s="110">
        <f t="shared" si="1"/>
        <v>834.71</v>
      </c>
      <c r="BM46" s="110">
        <f t="shared" si="22"/>
        <v>34.5</v>
      </c>
      <c r="BN46" s="110">
        <f t="shared" si="23"/>
        <v>869.21</v>
      </c>
      <c r="BO46" s="110">
        <v>823.46</v>
      </c>
      <c r="BP46" s="129">
        <v>21.42</v>
      </c>
      <c r="BQ46" s="110">
        <f t="shared" si="24"/>
        <v>11.25</v>
      </c>
      <c r="BR46" s="110">
        <f t="shared" si="25"/>
        <v>13.079999999999998</v>
      </c>
      <c r="BS46" s="110">
        <f t="shared" si="26"/>
        <v>74.86</v>
      </c>
      <c r="BT46" s="110">
        <f t="shared" si="27"/>
        <v>1.95</v>
      </c>
      <c r="BU46" s="110">
        <f>BS46-BQ46</f>
        <v>63.61</v>
      </c>
      <c r="BV46" s="110">
        <v>0</v>
      </c>
      <c r="BW46" s="111">
        <v>24.68</v>
      </c>
      <c r="CA46" s="110">
        <f t="shared" si="29"/>
        <v>923</v>
      </c>
      <c r="CB46" s="110">
        <f t="shared" si="30"/>
        <v>34.5</v>
      </c>
    </row>
    <row r="47" spans="1:80" ht="31.2" x14ac:dyDescent="0.3">
      <c r="A47" s="13">
        <v>33</v>
      </c>
      <c r="B47" s="13"/>
      <c r="C47" s="14"/>
      <c r="D47" s="148" t="s">
        <v>556</v>
      </c>
      <c r="E47" s="16"/>
      <c r="F47" s="82">
        <v>223.15999999999997</v>
      </c>
      <c r="G47" s="82">
        <v>0</v>
      </c>
      <c r="H47" s="82">
        <v>223.15999999999997</v>
      </c>
      <c r="I47" s="17">
        <v>0</v>
      </c>
      <c r="J47" s="87">
        <v>232.1</v>
      </c>
      <c r="K47" s="88">
        <v>0</v>
      </c>
      <c r="L47" s="88">
        <v>0</v>
      </c>
      <c r="M47" s="88">
        <f t="shared" ref="M47:M48" si="115">J47+K47+L47</f>
        <v>232.1</v>
      </c>
      <c r="N47" s="88">
        <v>53.9</v>
      </c>
      <c r="O47" s="88">
        <v>0</v>
      </c>
      <c r="P47" s="88">
        <v>0</v>
      </c>
      <c r="Q47" s="88">
        <f t="shared" si="98"/>
        <v>53.9</v>
      </c>
      <c r="R47" s="88">
        <f t="shared" si="99"/>
        <v>286</v>
      </c>
      <c r="S47" s="88">
        <v>0</v>
      </c>
      <c r="V47" s="17">
        <f t="shared" si="113"/>
        <v>236.17</v>
      </c>
      <c r="W47" s="17">
        <f t="shared" si="114"/>
        <v>0</v>
      </c>
      <c r="X47" s="110">
        <f t="shared" si="2"/>
        <v>49.830000000000013</v>
      </c>
      <c r="Y47" s="110">
        <f t="shared" si="3"/>
        <v>0</v>
      </c>
      <c r="Z47" s="118">
        <f>360.17+312.05</f>
        <v>672.22</v>
      </c>
      <c r="AA47" s="118">
        <f>47.08+70</f>
        <v>117.08</v>
      </c>
      <c r="AB47" s="110">
        <f t="shared" si="4"/>
        <v>789.30000000000007</v>
      </c>
      <c r="AC47" s="111">
        <v>0</v>
      </c>
      <c r="AD47" s="110">
        <v>789.30000000000007</v>
      </c>
      <c r="AE47" s="110">
        <v>0</v>
      </c>
      <c r="AF47" s="110">
        <v>0</v>
      </c>
      <c r="AG47" s="111">
        <f>102+96-25.78-15.9</f>
        <v>156.32</v>
      </c>
      <c r="AH47" s="110">
        <v>0</v>
      </c>
      <c r="AI47" s="129">
        <f>34+32</f>
        <v>66</v>
      </c>
      <c r="AJ47" s="110">
        <v>0</v>
      </c>
      <c r="AM47" s="110">
        <f>101.81+95.51</f>
        <v>197.32</v>
      </c>
      <c r="AN47" s="110">
        <v>0</v>
      </c>
      <c r="AQ47" s="110">
        <f t="shared" si="12"/>
        <v>353.64</v>
      </c>
      <c r="AR47" s="110">
        <v>0</v>
      </c>
      <c r="AU47" s="118">
        <f>101.81+95.51</f>
        <v>197.32</v>
      </c>
      <c r="AV47" s="118">
        <v>0</v>
      </c>
      <c r="AW47" s="118"/>
      <c r="AX47" s="118"/>
      <c r="AY47" s="110">
        <f t="shared" si="15"/>
        <v>616.96</v>
      </c>
      <c r="AZ47" s="110">
        <f t="shared" si="16"/>
        <v>0</v>
      </c>
      <c r="BA47" s="110">
        <f t="shared" si="17"/>
        <v>616.96</v>
      </c>
      <c r="BB47" s="142">
        <f>534.9+318.22</f>
        <v>853.12</v>
      </c>
      <c r="BD47" s="142">
        <f t="shared" si="18"/>
        <v>-236.15999999999997</v>
      </c>
      <c r="BE47" s="142">
        <f t="shared" si="19"/>
        <v>0</v>
      </c>
      <c r="BF47" s="142">
        <f t="shared" si="20"/>
        <v>170.62</v>
      </c>
      <c r="BG47" s="142">
        <f t="shared" si="21"/>
        <v>0</v>
      </c>
      <c r="BH47" s="111">
        <v>132.55000000000001</v>
      </c>
      <c r="BI47" s="110">
        <v>0</v>
      </c>
      <c r="BL47" s="110">
        <f t="shared" si="1"/>
        <v>749.51</v>
      </c>
      <c r="BM47" s="110">
        <f t="shared" si="22"/>
        <v>0</v>
      </c>
      <c r="BN47" s="110">
        <f t="shared" si="23"/>
        <v>749.51</v>
      </c>
      <c r="BO47" s="110">
        <v>853.12</v>
      </c>
      <c r="BP47" s="129"/>
      <c r="BQ47" s="110">
        <f t="shared" si="24"/>
        <v>-103.61000000000001</v>
      </c>
      <c r="BR47" s="110">
        <f t="shared" si="25"/>
        <v>0</v>
      </c>
      <c r="BS47" s="110">
        <f t="shared" si="26"/>
        <v>77.56</v>
      </c>
      <c r="BT47" s="110">
        <f t="shared" si="27"/>
        <v>0</v>
      </c>
      <c r="BU47" s="110">
        <v>139.48999999999995</v>
      </c>
      <c r="BV47" s="110">
        <f t="shared" si="94"/>
        <v>0</v>
      </c>
      <c r="CA47" s="110">
        <f t="shared" si="29"/>
        <v>889</v>
      </c>
      <c r="CB47" s="110">
        <f t="shared" si="30"/>
        <v>0</v>
      </c>
    </row>
    <row r="48" spans="1:80" ht="46.8" x14ac:dyDescent="0.3">
      <c r="A48" s="13">
        <v>34</v>
      </c>
      <c r="B48" s="13"/>
      <c r="C48" s="14"/>
      <c r="D48" s="148" t="s">
        <v>557</v>
      </c>
      <c r="E48" s="16"/>
      <c r="F48" s="82">
        <v>161.66</v>
      </c>
      <c r="G48" s="82">
        <v>0</v>
      </c>
      <c r="H48" s="82">
        <v>161.66</v>
      </c>
      <c r="I48" s="17">
        <v>0</v>
      </c>
      <c r="J48" s="87">
        <v>205.8</v>
      </c>
      <c r="K48" s="88">
        <v>0</v>
      </c>
      <c r="L48" s="88">
        <v>0</v>
      </c>
      <c r="M48" s="88">
        <f t="shared" si="115"/>
        <v>205.8</v>
      </c>
      <c r="N48" s="88">
        <v>17.2</v>
      </c>
      <c r="O48" s="88">
        <v>0</v>
      </c>
      <c r="P48" s="88">
        <v>0</v>
      </c>
      <c r="Q48" s="88">
        <f t="shared" si="98"/>
        <v>17.2</v>
      </c>
      <c r="R48" s="88">
        <f t="shared" si="99"/>
        <v>223</v>
      </c>
      <c r="S48" s="88">
        <v>0</v>
      </c>
      <c r="V48" s="17">
        <f t="shared" si="113"/>
        <v>171.08</v>
      </c>
      <c r="W48" s="17">
        <f t="shared" si="114"/>
        <v>0</v>
      </c>
      <c r="X48" s="110">
        <f t="shared" si="2"/>
        <v>51.919999999999987</v>
      </c>
      <c r="Y48" s="110">
        <f t="shared" si="3"/>
        <v>0</v>
      </c>
      <c r="Z48" s="110"/>
      <c r="AA48" s="110"/>
      <c r="AB48" s="110">
        <f t="shared" si="4"/>
        <v>0</v>
      </c>
      <c r="AC48" s="111">
        <v>0</v>
      </c>
      <c r="AD48" s="110"/>
      <c r="AE48" s="110">
        <v>0</v>
      </c>
      <c r="AF48" s="110">
        <v>0</v>
      </c>
      <c r="AG48" s="110"/>
      <c r="AH48" s="110">
        <v>0</v>
      </c>
      <c r="AI48" s="129"/>
      <c r="AJ48" s="110">
        <v>0</v>
      </c>
      <c r="AN48" s="110">
        <v>0</v>
      </c>
      <c r="AQ48" s="110">
        <f t="shared" si="12"/>
        <v>0</v>
      </c>
      <c r="AR48" s="110">
        <v>0</v>
      </c>
      <c r="AV48" s="110">
        <v>0</v>
      </c>
      <c r="AY48" s="110">
        <f t="shared" si="15"/>
        <v>0</v>
      </c>
      <c r="AZ48" s="110">
        <f t="shared" si="16"/>
        <v>0</v>
      </c>
      <c r="BA48" s="110">
        <f t="shared" si="17"/>
        <v>0</v>
      </c>
      <c r="BD48" s="142">
        <f t="shared" si="18"/>
        <v>0</v>
      </c>
      <c r="BE48" s="142">
        <f t="shared" si="19"/>
        <v>0</v>
      </c>
      <c r="BF48" s="142">
        <f t="shared" si="20"/>
        <v>0</v>
      </c>
      <c r="BG48" s="142">
        <f t="shared" si="21"/>
        <v>0</v>
      </c>
      <c r="BH48" s="110">
        <v>0</v>
      </c>
      <c r="BI48" s="110">
        <v>0</v>
      </c>
      <c r="BL48" s="110">
        <f t="shared" si="1"/>
        <v>0</v>
      </c>
      <c r="BM48" s="110">
        <f t="shared" si="22"/>
        <v>0</v>
      </c>
      <c r="BN48" s="110">
        <f t="shared" si="23"/>
        <v>0</v>
      </c>
      <c r="BO48" s="110">
        <v>0</v>
      </c>
      <c r="BP48" s="129"/>
      <c r="BQ48" s="110">
        <f t="shared" si="24"/>
        <v>0</v>
      </c>
      <c r="BR48" s="110">
        <f t="shared" si="25"/>
        <v>0</v>
      </c>
      <c r="BS48" s="110">
        <f t="shared" si="26"/>
        <v>0</v>
      </c>
      <c r="BT48" s="110">
        <f t="shared" si="27"/>
        <v>0</v>
      </c>
      <c r="BU48" s="110">
        <f t="shared" si="34"/>
        <v>0</v>
      </c>
      <c r="BV48" s="110">
        <f t="shared" si="94"/>
        <v>0</v>
      </c>
      <c r="CA48" s="110">
        <f t="shared" si="29"/>
        <v>0</v>
      </c>
      <c r="CB48" s="110">
        <f t="shared" si="30"/>
        <v>0</v>
      </c>
    </row>
    <row r="49" spans="1:80" ht="18" x14ac:dyDescent="0.3">
      <c r="A49" s="18"/>
      <c r="B49" s="18" t="s">
        <v>72</v>
      </c>
      <c r="C49" s="19" t="s">
        <v>40</v>
      </c>
      <c r="D49" s="20" t="s">
        <v>71</v>
      </c>
      <c r="E49" s="21" t="s">
        <v>73</v>
      </c>
      <c r="F49" s="22">
        <v>1177.46</v>
      </c>
      <c r="G49" s="22">
        <v>217.26</v>
      </c>
      <c r="H49" s="22">
        <v>1177.46</v>
      </c>
      <c r="I49" s="22">
        <v>237.26</v>
      </c>
      <c r="J49" s="89">
        <f t="shared" ref="J49:AB49" si="116">+J46+J47+J48</f>
        <v>1387.8999999999999</v>
      </c>
      <c r="K49" s="89">
        <f t="shared" si="116"/>
        <v>0</v>
      </c>
      <c r="L49" s="89">
        <f t="shared" si="116"/>
        <v>0</v>
      </c>
      <c r="M49" s="89">
        <f t="shared" si="116"/>
        <v>1387.8999999999999</v>
      </c>
      <c r="N49" s="89">
        <f t="shared" si="116"/>
        <v>71.099999999999994</v>
      </c>
      <c r="O49" s="89">
        <f t="shared" si="116"/>
        <v>0</v>
      </c>
      <c r="P49" s="89">
        <f t="shared" si="116"/>
        <v>0</v>
      </c>
      <c r="Q49" s="89">
        <f t="shared" si="116"/>
        <v>71.099999999999994</v>
      </c>
      <c r="R49" s="89">
        <f t="shared" si="116"/>
        <v>1459</v>
      </c>
      <c r="S49" s="89">
        <f t="shared" si="116"/>
        <v>30</v>
      </c>
      <c r="T49" s="89">
        <f t="shared" si="116"/>
        <v>0</v>
      </c>
      <c r="U49" s="89">
        <f t="shared" si="116"/>
        <v>0</v>
      </c>
      <c r="V49" s="89">
        <f t="shared" si="116"/>
        <v>1246.0999999999999</v>
      </c>
      <c r="W49" s="89">
        <f t="shared" si="116"/>
        <v>245.02</v>
      </c>
      <c r="X49" s="89">
        <f t="shared" si="116"/>
        <v>212.89999999999998</v>
      </c>
      <c r="Y49" s="89">
        <f t="shared" si="116"/>
        <v>-215.02</v>
      </c>
      <c r="Z49" s="89">
        <f t="shared" si="116"/>
        <v>1511.0700000000002</v>
      </c>
      <c r="AA49" s="89">
        <f t="shared" si="116"/>
        <v>117.08</v>
      </c>
      <c r="AB49" s="89">
        <f t="shared" si="116"/>
        <v>1628.15</v>
      </c>
      <c r="AC49" s="111">
        <v>0</v>
      </c>
      <c r="AD49" s="22">
        <f t="shared" ref="AD49:CB49" si="117">+AD46+AD47+AD48</f>
        <v>1628.15</v>
      </c>
      <c r="AE49" s="22">
        <f t="shared" si="117"/>
        <v>30</v>
      </c>
      <c r="AF49" s="22">
        <f t="shared" si="117"/>
        <v>27.07</v>
      </c>
      <c r="AG49" s="22">
        <f t="shared" si="117"/>
        <v>366.32</v>
      </c>
      <c r="AH49" s="22">
        <f t="shared" si="117"/>
        <v>8</v>
      </c>
      <c r="AI49" s="120">
        <f t="shared" si="117"/>
        <v>136</v>
      </c>
      <c r="AJ49" s="22">
        <f t="shared" si="117"/>
        <v>3</v>
      </c>
      <c r="AK49" s="22">
        <f t="shared" si="117"/>
        <v>0</v>
      </c>
      <c r="AL49" s="22">
        <f t="shared" si="117"/>
        <v>0</v>
      </c>
      <c r="AM49" s="22">
        <f t="shared" si="117"/>
        <v>407.03</v>
      </c>
      <c r="AN49" s="22">
        <f t="shared" si="117"/>
        <v>7.31</v>
      </c>
      <c r="AO49" s="22">
        <f t="shared" si="117"/>
        <v>0</v>
      </c>
      <c r="AP49" s="22">
        <f t="shared" si="117"/>
        <v>0</v>
      </c>
      <c r="AQ49" s="22">
        <f t="shared" si="117"/>
        <v>773.35</v>
      </c>
      <c r="AR49" s="22">
        <f t="shared" si="117"/>
        <v>15.309999999999999</v>
      </c>
      <c r="AS49" s="22">
        <f t="shared" si="117"/>
        <v>0</v>
      </c>
      <c r="AT49" s="22">
        <f t="shared" si="117"/>
        <v>0</v>
      </c>
      <c r="AU49" s="22">
        <f t="shared" si="117"/>
        <v>407.03</v>
      </c>
      <c r="AV49" s="22">
        <f t="shared" si="117"/>
        <v>7.5</v>
      </c>
      <c r="AW49" s="22">
        <f t="shared" si="117"/>
        <v>50</v>
      </c>
      <c r="AX49" s="22">
        <f t="shared" si="117"/>
        <v>3.19</v>
      </c>
      <c r="AY49" s="22">
        <f t="shared" si="117"/>
        <v>1366.38</v>
      </c>
      <c r="AZ49" s="22">
        <f t="shared" si="117"/>
        <v>29</v>
      </c>
      <c r="BA49" s="22">
        <f t="shared" si="117"/>
        <v>1395.38</v>
      </c>
      <c r="BB49" s="22">
        <f t="shared" si="117"/>
        <v>1597.6100000000001</v>
      </c>
      <c r="BC49" s="22">
        <f t="shared" si="117"/>
        <v>20.81</v>
      </c>
      <c r="BD49" s="22">
        <f t="shared" si="117"/>
        <v>-231.2299999999999</v>
      </c>
      <c r="BE49" s="22">
        <f t="shared" si="117"/>
        <v>8.1900000000000013</v>
      </c>
      <c r="BF49" s="22">
        <f t="shared" si="117"/>
        <v>319.52</v>
      </c>
      <c r="BG49" s="120">
        <f t="shared" si="117"/>
        <v>4.16</v>
      </c>
      <c r="BH49" s="120">
        <f t="shared" si="117"/>
        <v>217.84000000000003</v>
      </c>
      <c r="BI49" s="120">
        <f t="shared" si="117"/>
        <v>5.5</v>
      </c>
      <c r="BJ49" s="120">
        <f t="shared" si="117"/>
        <v>0</v>
      </c>
      <c r="BK49" s="120">
        <f t="shared" si="117"/>
        <v>0</v>
      </c>
      <c r="BL49" s="120">
        <f t="shared" si="117"/>
        <v>1584.22</v>
      </c>
      <c r="BM49" s="120">
        <f t="shared" si="117"/>
        <v>34.5</v>
      </c>
      <c r="BN49" s="120">
        <f t="shared" si="117"/>
        <v>1618.72</v>
      </c>
      <c r="BO49" s="120">
        <f t="shared" si="117"/>
        <v>1676.58</v>
      </c>
      <c r="BP49" s="120">
        <f t="shared" si="117"/>
        <v>21.42</v>
      </c>
      <c r="BQ49" s="22">
        <f t="shared" si="117"/>
        <v>-92.360000000000014</v>
      </c>
      <c r="BR49" s="22">
        <f t="shared" si="117"/>
        <v>13.079999999999998</v>
      </c>
      <c r="BS49" s="22">
        <f t="shared" si="117"/>
        <v>152.42000000000002</v>
      </c>
      <c r="BT49" s="22">
        <f t="shared" si="117"/>
        <v>1.95</v>
      </c>
      <c r="BU49" s="22">
        <f t="shared" si="117"/>
        <v>203.09999999999997</v>
      </c>
      <c r="BV49" s="22">
        <f t="shared" si="117"/>
        <v>0</v>
      </c>
      <c r="BW49" s="22">
        <f t="shared" si="117"/>
        <v>24.68</v>
      </c>
      <c r="BX49" s="22">
        <f t="shared" si="117"/>
        <v>0</v>
      </c>
      <c r="BY49" s="22">
        <f t="shared" si="117"/>
        <v>0</v>
      </c>
      <c r="BZ49" s="22">
        <f t="shared" si="117"/>
        <v>0</v>
      </c>
      <c r="CA49" s="22">
        <f t="shared" si="117"/>
        <v>1812</v>
      </c>
      <c r="CB49" s="22">
        <f t="shared" si="117"/>
        <v>34.5</v>
      </c>
    </row>
    <row r="50" spans="1:80" ht="18" x14ac:dyDescent="0.3">
      <c r="A50" s="13">
        <v>35</v>
      </c>
      <c r="B50" s="13"/>
      <c r="C50" s="14"/>
      <c r="D50" s="15" t="s">
        <v>74</v>
      </c>
      <c r="E50" s="16"/>
      <c r="F50" s="82">
        <v>855.07999999999993</v>
      </c>
      <c r="G50" s="82">
        <v>309.65999999999997</v>
      </c>
      <c r="H50" s="82">
        <v>855.07999999999993</v>
      </c>
      <c r="I50" s="17">
        <v>309.65999999999997</v>
      </c>
      <c r="J50" s="87">
        <v>890</v>
      </c>
      <c r="K50" s="88">
        <v>90</v>
      </c>
      <c r="L50" s="88">
        <v>0</v>
      </c>
      <c r="M50" s="88">
        <f>J50+K50+L50</f>
        <v>980</v>
      </c>
      <c r="N50" s="88">
        <v>0</v>
      </c>
      <c r="O50" s="88">
        <v>0</v>
      </c>
      <c r="P50" s="88">
        <v>0</v>
      </c>
      <c r="Q50" s="88">
        <f>N50+O50+P50</f>
        <v>0</v>
      </c>
      <c r="R50" s="88">
        <f t="shared" si="99"/>
        <v>980</v>
      </c>
      <c r="S50" s="88">
        <v>250</v>
      </c>
      <c r="V50" s="17">
        <f t="shared" ref="V50" si="118">ROUND(H50*1.0583,2)</f>
        <v>904.93</v>
      </c>
      <c r="W50" s="17">
        <f t="shared" ref="W50" si="119">ROUND(I50*1.0327,2)</f>
        <v>319.79000000000002</v>
      </c>
      <c r="X50" s="110">
        <f t="shared" si="2"/>
        <v>75.07000000000005</v>
      </c>
      <c r="Y50" s="111">
        <f t="shared" si="3"/>
        <v>-69.79000000000002</v>
      </c>
      <c r="Z50" s="118">
        <v>904.93</v>
      </c>
      <c r="AA50" s="118"/>
      <c r="AB50" s="118">
        <f t="shared" si="4"/>
        <v>904.93</v>
      </c>
      <c r="AC50" s="111">
        <f t="shared" si="5"/>
        <v>0</v>
      </c>
      <c r="AD50" s="110">
        <f t="shared" ref="AD50" si="120">IF(X50&gt;0,V50,R50)</f>
        <v>904.93</v>
      </c>
      <c r="AE50" s="110">
        <f t="shared" ref="AE50" si="121">IF(Y50&gt;0,W50,S50)</f>
        <v>250</v>
      </c>
      <c r="AF50" s="110">
        <f t="shared" si="6"/>
        <v>225.55</v>
      </c>
      <c r="AG50" s="110">
        <f t="shared" si="7"/>
        <v>226</v>
      </c>
      <c r="AH50" s="110">
        <f t="shared" si="33"/>
        <v>63</v>
      </c>
      <c r="AI50" s="129">
        <f t="shared" si="8"/>
        <v>75</v>
      </c>
      <c r="AJ50" s="110">
        <f t="shared" si="9"/>
        <v>21</v>
      </c>
      <c r="AM50" s="110">
        <f t="shared" si="10"/>
        <v>226.23</v>
      </c>
      <c r="AN50" s="110">
        <f t="shared" si="11"/>
        <v>60.88</v>
      </c>
      <c r="AQ50" s="110">
        <f t="shared" si="12"/>
        <v>452.23</v>
      </c>
      <c r="AR50" s="118">
        <f t="shared" si="13"/>
        <v>123.88</v>
      </c>
      <c r="AS50" s="118"/>
      <c r="AT50" s="118"/>
      <c r="AU50" s="141">
        <f>ROUND(AD50*25%,2)-49.54</f>
        <v>176.69</v>
      </c>
      <c r="AV50" s="118">
        <f>ROUND(AE50*25%,2)-17.45</f>
        <v>45.05</v>
      </c>
      <c r="AW50" s="118"/>
      <c r="AX50" s="118"/>
      <c r="AY50" s="118">
        <f t="shared" si="15"/>
        <v>703.92000000000007</v>
      </c>
      <c r="AZ50" s="110">
        <f t="shared" si="16"/>
        <v>189.93</v>
      </c>
      <c r="BA50" s="110">
        <f t="shared" si="17"/>
        <v>893.85000000000014</v>
      </c>
      <c r="BB50" s="142">
        <v>585.1</v>
      </c>
      <c r="BC50" s="142">
        <v>174.87</v>
      </c>
      <c r="BD50" s="142">
        <f t="shared" si="18"/>
        <v>118.82000000000005</v>
      </c>
      <c r="BE50" s="142">
        <f t="shared" si="19"/>
        <v>15.060000000000002</v>
      </c>
      <c r="BF50" s="142">
        <f t="shared" si="20"/>
        <v>117.02</v>
      </c>
      <c r="BG50" s="142">
        <f t="shared" si="21"/>
        <v>34.97</v>
      </c>
      <c r="BH50" s="146">
        <v>11.63</v>
      </c>
      <c r="BI50" s="146">
        <v>4.38</v>
      </c>
      <c r="BJ50" s="146"/>
      <c r="BK50" s="146"/>
      <c r="BL50" s="110">
        <f t="shared" si="1"/>
        <v>715.55000000000007</v>
      </c>
      <c r="BM50" s="110">
        <f t="shared" si="22"/>
        <v>194.31</v>
      </c>
      <c r="BN50" s="110">
        <f t="shared" si="23"/>
        <v>909.86000000000013</v>
      </c>
      <c r="BO50" s="110">
        <v>644.67999999999995</v>
      </c>
      <c r="BP50" s="129">
        <v>174.87</v>
      </c>
      <c r="BQ50" s="110">
        <f t="shared" si="24"/>
        <v>70.870000000000118</v>
      </c>
      <c r="BR50" s="110">
        <f t="shared" si="25"/>
        <v>19.439999999999998</v>
      </c>
      <c r="BS50" s="110">
        <f t="shared" si="26"/>
        <v>58.61</v>
      </c>
      <c r="BT50" s="110">
        <f t="shared" si="27"/>
        <v>15.9</v>
      </c>
      <c r="BU50" s="146">
        <v>11.62</v>
      </c>
      <c r="BV50" s="110">
        <v>0</v>
      </c>
      <c r="CA50" s="110">
        <f t="shared" si="29"/>
        <v>727.17000000000007</v>
      </c>
      <c r="CB50" s="110">
        <f t="shared" si="30"/>
        <v>194.31</v>
      </c>
    </row>
    <row r="51" spans="1:80" ht="18" x14ac:dyDescent="0.3">
      <c r="A51" s="13">
        <v>36</v>
      </c>
      <c r="B51" s="13"/>
      <c r="C51" s="14"/>
      <c r="D51" s="15" t="s">
        <v>75</v>
      </c>
      <c r="E51" s="16"/>
      <c r="F51" s="82">
        <v>819.7299999999999</v>
      </c>
      <c r="G51" s="82">
        <v>0</v>
      </c>
      <c r="H51" s="82">
        <v>819.7299999999999</v>
      </c>
      <c r="I51" s="17">
        <v>0</v>
      </c>
      <c r="J51" s="87">
        <v>1103.0999999999999</v>
      </c>
      <c r="K51" s="88">
        <v>0</v>
      </c>
      <c r="L51" s="88">
        <v>0</v>
      </c>
      <c r="M51" s="88">
        <f>J51+K51+L51</f>
        <v>1103.0999999999999</v>
      </c>
      <c r="N51" s="88">
        <v>0</v>
      </c>
      <c r="O51" s="88">
        <v>0</v>
      </c>
      <c r="P51" s="88">
        <v>0</v>
      </c>
      <c r="Q51" s="88">
        <f>N51+O51+P51</f>
        <v>0</v>
      </c>
      <c r="R51" s="88">
        <f t="shared" si="99"/>
        <v>1103.0999999999999</v>
      </c>
      <c r="S51" s="88">
        <v>0</v>
      </c>
      <c r="V51" s="17">
        <f t="shared" ref="V51" si="122">ROUND(H51*1.0583,2)</f>
        <v>867.52</v>
      </c>
      <c r="W51" s="17">
        <f t="shared" ref="W51" si="123">ROUND(I51*1.0327,2)</f>
        <v>0</v>
      </c>
      <c r="X51" s="110">
        <f t="shared" si="2"/>
        <v>235.57999999999993</v>
      </c>
      <c r="Y51" s="110">
        <f t="shared" si="3"/>
        <v>0</v>
      </c>
      <c r="Z51" s="110">
        <v>867.52</v>
      </c>
      <c r="AA51" s="110"/>
      <c r="AB51" s="110">
        <f t="shared" si="4"/>
        <v>867.52</v>
      </c>
      <c r="AC51" s="111">
        <f t="shared" si="5"/>
        <v>0</v>
      </c>
      <c r="AD51" s="110">
        <f t="shared" ref="AD51" si="124">IF(X51&gt;0,V51,R51)</f>
        <v>867.52</v>
      </c>
      <c r="AE51" s="110">
        <f t="shared" ref="AE51" si="125">IF(Y51&gt;0,W51,S51)</f>
        <v>0</v>
      </c>
      <c r="AF51" s="110">
        <f t="shared" si="6"/>
        <v>0</v>
      </c>
      <c r="AG51" s="110">
        <f t="shared" si="7"/>
        <v>217</v>
      </c>
      <c r="AH51" s="110">
        <f t="shared" si="33"/>
        <v>0</v>
      </c>
      <c r="AI51" s="129">
        <f t="shared" si="8"/>
        <v>72</v>
      </c>
      <c r="AJ51" s="110">
        <f t="shared" si="9"/>
        <v>0</v>
      </c>
      <c r="AM51" s="110">
        <f t="shared" si="10"/>
        <v>216.88</v>
      </c>
      <c r="AN51" s="110">
        <f t="shared" si="11"/>
        <v>0</v>
      </c>
      <c r="AQ51" s="110">
        <f t="shared" si="12"/>
        <v>433.88</v>
      </c>
      <c r="AR51" s="118">
        <f t="shared" si="13"/>
        <v>0</v>
      </c>
      <c r="AS51" s="118"/>
      <c r="AT51" s="118"/>
      <c r="AU51" s="118">
        <f t="shared" si="0"/>
        <v>216.88</v>
      </c>
      <c r="AV51" s="118">
        <f>ROUND(AE51*25%,2)</f>
        <v>0</v>
      </c>
      <c r="AW51" s="118"/>
      <c r="AX51" s="118"/>
      <c r="AY51" s="118">
        <f t="shared" si="15"/>
        <v>722.76</v>
      </c>
      <c r="AZ51" s="110">
        <f t="shared" si="16"/>
        <v>0</v>
      </c>
      <c r="BA51" s="110">
        <f t="shared" si="17"/>
        <v>722.76</v>
      </c>
      <c r="BB51" s="142">
        <v>506.22</v>
      </c>
      <c r="BD51" s="142">
        <f t="shared" si="18"/>
        <v>216.53999999999996</v>
      </c>
      <c r="BE51" s="142">
        <f t="shared" si="19"/>
        <v>0</v>
      </c>
      <c r="BF51" s="142">
        <f t="shared" si="20"/>
        <v>101.24</v>
      </c>
      <c r="BG51" s="142">
        <f t="shared" si="21"/>
        <v>0</v>
      </c>
      <c r="BH51" s="146">
        <v>0</v>
      </c>
      <c r="BI51" s="146">
        <v>0</v>
      </c>
      <c r="BJ51" s="146"/>
      <c r="BK51" s="146"/>
      <c r="BL51" s="110">
        <f t="shared" si="1"/>
        <v>722.76</v>
      </c>
      <c r="BM51" s="110">
        <f t="shared" si="22"/>
        <v>0</v>
      </c>
      <c r="BN51" s="110">
        <f t="shared" si="23"/>
        <v>722.76</v>
      </c>
      <c r="BO51" s="110">
        <v>567.02</v>
      </c>
      <c r="BP51" s="129"/>
      <c r="BQ51" s="110">
        <f t="shared" si="24"/>
        <v>155.74</v>
      </c>
      <c r="BR51" s="110">
        <f t="shared" si="25"/>
        <v>0</v>
      </c>
      <c r="BS51" s="110">
        <f t="shared" si="26"/>
        <v>51.55</v>
      </c>
      <c r="BT51" s="110">
        <f t="shared" si="27"/>
        <v>0</v>
      </c>
      <c r="BU51" s="146">
        <v>0</v>
      </c>
      <c r="BV51" s="110">
        <f t="shared" si="94"/>
        <v>0</v>
      </c>
      <c r="CA51" s="110">
        <f t="shared" si="29"/>
        <v>722.76</v>
      </c>
      <c r="CB51" s="110">
        <f t="shared" si="30"/>
        <v>0</v>
      </c>
    </row>
    <row r="52" spans="1:80" ht="18" x14ac:dyDescent="0.3">
      <c r="A52" s="18"/>
      <c r="B52" s="18" t="s">
        <v>76</v>
      </c>
      <c r="C52" s="19" t="s">
        <v>77</v>
      </c>
      <c r="D52" s="20" t="s">
        <v>74</v>
      </c>
      <c r="E52" s="21" t="s">
        <v>78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9">
        <f t="shared" ref="J52:AA52" si="126">+J50+J51</f>
        <v>1993.1</v>
      </c>
      <c r="K52" s="89">
        <f t="shared" si="126"/>
        <v>90</v>
      </c>
      <c r="L52" s="89">
        <f t="shared" si="126"/>
        <v>0</v>
      </c>
      <c r="M52" s="89">
        <f t="shared" si="126"/>
        <v>2083.1</v>
      </c>
      <c r="N52" s="89">
        <f t="shared" si="126"/>
        <v>0</v>
      </c>
      <c r="O52" s="89">
        <f t="shared" si="126"/>
        <v>0</v>
      </c>
      <c r="P52" s="89">
        <f t="shared" si="126"/>
        <v>0</v>
      </c>
      <c r="Q52" s="89">
        <f t="shared" si="126"/>
        <v>0</v>
      </c>
      <c r="R52" s="89">
        <f t="shared" si="126"/>
        <v>2083.1</v>
      </c>
      <c r="S52" s="89">
        <f t="shared" si="126"/>
        <v>250</v>
      </c>
      <c r="T52" s="89">
        <f t="shared" si="126"/>
        <v>0</v>
      </c>
      <c r="U52" s="89">
        <f t="shared" si="126"/>
        <v>0</v>
      </c>
      <c r="V52" s="89">
        <f t="shared" si="126"/>
        <v>1772.4499999999998</v>
      </c>
      <c r="W52" s="89">
        <f t="shared" si="126"/>
        <v>319.79000000000002</v>
      </c>
      <c r="X52" s="89">
        <f t="shared" si="126"/>
        <v>310.64999999999998</v>
      </c>
      <c r="Y52" s="89">
        <f t="shared" si="126"/>
        <v>-69.79000000000002</v>
      </c>
      <c r="Z52" s="89">
        <f t="shared" si="126"/>
        <v>1772.4499999999998</v>
      </c>
      <c r="AA52" s="89">
        <f t="shared" si="126"/>
        <v>0</v>
      </c>
      <c r="AB52" s="22">
        <f t="shared" si="4"/>
        <v>1772.4499999999998</v>
      </c>
      <c r="AC52" s="111">
        <f t="shared" si="5"/>
        <v>0</v>
      </c>
      <c r="AD52" s="22">
        <f t="shared" ref="AD52:CB52" si="127">+AD50+AD51</f>
        <v>1772.4499999999998</v>
      </c>
      <c r="AE52" s="22">
        <f t="shared" si="127"/>
        <v>250</v>
      </c>
      <c r="AF52" s="22">
        <f t="shared" si="127"/>
        <v>225.55</v>
      </c>
      <c r="AG52" s="22">
        <f t="shared" si="127"/>
        <v>443</v>
      </c>
      <c r="AH52" s="22">
        <f t="shared" si="127"/>
        <v>63</v>
      </c>
      <c r="AI52" s="120">
        <f t="shared" si="127"/>
        <v>147</v>
      </c>
      <c r="AJ52" s="22">
        <f t="shared" si="127"/>
        <v>21</v>
      </c>
      <c r="AK52" s="22">
        <f t="shared" si="127"/>
        <v>0</v>
      </c>
      <c r="AL52" s="22">
        <f t="shared" si="127"/>
        <v>0</v>
      </c>
      <c r="AM52" s="22">
        <f t="shared" si="127"/>
        <v>443.11</v>
      </c>
      <c r="AN52" s="22">
        <f t="shared" si="127"/>
        <v>60.88</v>
      </c>
      <c r="AO52" s="22">
        <f t="shared" si="127"/>
        <v>0</v>
      </c>
      <c r="AP52" s="22">
        <f t="shared" si="127"/>
        <v>0</v>
      </c>
      <c r="AQ52" s="22">
        <f t="shared" si="127"/>
        <v>886.11</v>
      </c>
      <c r="AR52" s="22">
        <f t="shared" si="127"/>
        <v>123.88</v>
      </c>
      <c r="AS52" s="22">
        <f t="shared" si="127"/>
        <v>0</v>
      </c>
      <c r="AT52" s="22">
        <f t="shared" si="127"/>
        <v>0</v>
      </c>
      <c r="AU52" s="22">
        <f t="shared" si="127"/>
        <v>393.57</v>
      </c>
      <c r="AV52" s="22">
        <f t="shared" si="127"/>
        <v>45.05</v>
      </c>
      <c r="AW52" s="22">
        <f t="shared" si="127"/>
        <v>0</v>
      </c>
      <c r="AX52" s="22">
        <f t="shared" si="127"/>
        <v>0</v>
      </c>
      <c r="AY52" s="22">
        <f t="shared" si="127"/>
        <v>1426.68</v>
      </c>
      <c r="AZ52" s="22">
        <f t="shared" si="127"/>
        <v>189.93</v>
      </c>
      <c r="BA52" s="22">
        <f t="shared" si="127"/>
        <v>1616.6100000000001</v>
      </c>
      <c r="BB52" s="22">
        <f t="shared" si="127"/>
        <v>1091.3200000000002</v>
      </c>
      <c r="BC52" s="22">
        <f t="shared" si="127"/>
        <v>174.87</v>
      </c>
      <c r="BD52" s="22">
        <f t="shared" si="127"/>
        <v>335.36</v>
      </c>
      <c r="BE52" s="22">
        <f t="shared" si="127"/>
        <v>15.060000000000002</v>
      </c>
      <c r="BF52" s="22">
        <f t="shared" si="127"/>
        <v>218.26</v>
      </c>
      <c r="BG52" s="120">
        <f t="shared" si="127"/>
        <v>34.97</v>
      </c>
      <c r="BH52" s="120">
        <f t="shared" si="127"/>
        <v>11.63</v>
      </c>
      <c r="BI52" s="120">
        <f t="shared" si="127"/>
        <v>4.38</v>
      </c>
      <c r="BJ52" s="120">
        <f t="shared" si="127"/>
        <v>0</v>
      </c>
      <c r="BK52" s="120">
        <f t="shared" si="127"/>
        <v>0</v>
      </c>
      <c r="BL52" s="120">
        <f t="shared" si="127"/>
        <v>1438.31</v>
      </c>
      <c r="BM52" s="120">
        <f t="shared" si="127"/>
        <v>194.31</v>
      </c>
      <c r="BN52" s="120">
        <f t="shared" si="127"/>
        <v>1632.6200000000001</v>
      </c>
      <c r="BO52" s="120">
        <f t="shared" si="127"/>
        <v>1211.6999999999998</v>
      </c>
      <c r="BP52" s="120">
        <f t="shared" si="127"/>
        <v>174.87</v>
      </c>
      <c r="BQ52" s="22">
        <f t="shared" si="127"/>
        <v>226.61000000000013</v>
      </c>
      <c r="BR52" s="22">
        <f t="shared" si="127"/>
        <v>19.439999999999998</v>
      </c>
      <c r="BS52" s="22">
        <f t="shared" si="127"/>
        <v>110.16</v>
      </c>
      <c r="BT52" s="22">
        <f t="shared" si="127"/>
        <v>15.9</v>
      </c>
      <c r="BU52" s="22">
        <f t="shared" si="127"/>
        <v>11.62</v>
      </c>
      <c r="BV52" s="22">
        <f t="shared" si="127"/>
        <v>0</v>
      </c>
      <c r="BW52" s="22">
        <f t="shared" si="127"/>
        <v>0</v>
      </c>
      <c r="BX52" s="22">
        <f t="shared" si="127"/>
        <v>0</v>
      </c>
      <c r="BY52" s="22">
        <f t="shared" si="127"/>
        <v>0</v>
      </c>
      <c r="BZ52" s="22">
        <f t="shared" si="127"/>
        <v>0</v>
      </c>
      <c r="CA52" s="22">
        <f t="shared" si="127"/>
        <v>1449.93</v>
      </c>
      <c r="CB52" s="22">
        <f t="shared" si="127"/>
        <v>194.31</v>
      </c>
    </row>
    <row r="53" spans="1:80" ht="18" x14ac:dyDescent="0.3">
      <c r="A53" s="13">
        <v>37</v>
      </c>
      <c r="B53" s="13"/>
      <c r="C53" s="14"/>
      <c r="D53" s="149" t="s">
        <v>558</v>
      </c>
      <c r="E53" s="16"/>
      <c r="F53" s="82">
        <v>971.93000000000006</v>
      </c>
      <c r="G53" s="82">
        <v>120.08999999999999</v>
      </c>
      <c r="H53" s="82">
        <v>960</v>
      </c>
      <c r="I53" s="17">
        <v>98.569999999999979</v>
      </c>
      <c r="J53" s="87">
        <v>1090</v>
      </c>
      <c r="K53" s="88">
        <v>0</v>
      </c>
      <c r="L53" s="88">
        <v>0</v>
      </c>
      <c r="M53" s="88">
        <f>J53+K53+L53</f>
        <v>1090</v>
      </c>
      <c r="N53" s="88">
        <v>0</v>
      </c>
      <c r="O53" s="88">
        <v>0</v>
      </c>
      <c r="P53" s="88">
        <v>0</v>
      </c>
      <c r="Q53" s="88">
        <f>N53+O53+P53</f>
        <v>0</v>
      </c>
      <c r="R53" s="88">
        <f t="shared" si="99"/>
        <v>1090</v>
      </c>
      <c r="S53" s="88">
        <v>113</v>
      </c>
      <c r="V53" s="17">
        <f t="shared" ref="V53" si="128">ROUND(H53*1.0583,2)</f>
        <v>1015.97</v>
      </c>
      <c r="W53" s="17">
        <f t="shared" ref="W53" si="129">ROUND(I53*1.0327,2)</f>
        <v>101.79</v>
      </c>
      <c r="X53" s="110">
        <f t="shared" si="2"/>
        <v>74.029999999999973</v>
      </c>
      <c r="Y53" s="110">
        <f t="shared" si="3"/>
        <v>11.209999999999994</v>
      </c>
      <c r="Z53" s="110">
        <v>1015.97</v>
      </c>
      <c r="AA53" s="110"/>
      <c r="AB53" s="110">
        <f t="shared" si="4"/>
        <v>1015.97</v>
      </c>
      <c r="AC53" s="111">
        <f t="shared" si="5"/>
        <v>0</v>
      </c>
      <c r="AD53" s="110">
        <f t="shared" ref="AD53" si="130">IF(X53&gt;0,V53,R53)</f>
        <v>1015.97</v>
      </c>
      <c r="AE53" s="110">
        <f t="shared" ref="AE53" si="131">IF(Y53&gt;0,W53,S53)</f>
        <v>101.79</v>
      </c>
      <c r="AF53" s="110">
        <f t="shared" si="6"/>
        <v>101.95</v>
      </c>
      <c r="AG53" s="110">
        <f t="shared" si="7"/>
        <v>254</v>
      </c>
      <c r="AH53" s="110">
        <f t="shared" si="33"/>
        <v>25</v>
      </c>
      <c r="AI53" s="129">
        <f t="shared" si="8"/>
        <v>85</v>
      </c>
      <c r="AJ53" s="110">
        <f t="shared" si="9"/>
        <v>8</v>
      </c>
      <c r="AM53" s="110">
        <f t="shared" si="10"/>
        <v>253.99</v>
      </c>
      <c r="AN53" s="110">
        <f t="shared" si="11"/>
        <v>24.79</v>
      </c>
      <c r="AQ53" s="110">
        <f t="shared" si="12"/>
        <v>507.99</v>
      </c>
      <c r="AR53" s="118">
        <f t="shared" si="13"/>
        <v>49.79</v>
      </c>
      <c r="AS53" s="146">
        <v>60</v>
      </c>
      <c r="AT53" s="118"/>
      <c r="AU53" s="118">
        <f t="shared" si="0"/>
        <v>253.99</v>
      </c>
      <c r="AV53" s="118">
        <f>ROUND(AE53*25%,2)-25.45</f>
        <v>0</v>
      </c>
      <c r="AW53" s="146">
        <v>40</v>
      </c>
      <c r="AY53" s="110">
        <f t="shared" si="15"/>
        <v>946.98</v>
      </c>
      <c r="AZ53" s="110">
        <f t="shared" si="16"/>
        <v>57.79</v>
      </c>
      <c r="BA53" s="110">
        <f t="shared" si="17"/>
        <v>1004.77</v>
      </c>
      <c r="BB53" s="142">
        <v>938.96</v>
      </c>
      <c r="BC53" s="142">
        <v>57.7</v>
      </c>
      <c r="BD53" s="142">
        <f t="shared" si="18"/>
        <v>8.0199999999999818</v>
      </c>
      <c r="BE53" s="142">
        <f t="shared" si="19"/>
        <v>8.9999999999996305E-2</v>
      </c>
      <c r="BF53" s="142">
        <f t="shared" si="20"/>
        <v>187.79</v>
      </c>
      <c r="BG53" s="142">
        <f t="shared" si="21"/>
        <v>11.54</v>
      </c>
      <c r="BH53" s="111">
        <v>63.86</v>
      </c>
      <c r="BI53" s="111">
        <v>0</v>
      </c>
      <c r="BJ53" s="111">
        <v>30</v>
      </c>
      <c r="BK53" s="111">
        <v>5</v>
      </c>
      <c r="BL53" s="110">
        <f t="shared" si="1"/>
        <v>1040.8400000000001</v>
      </c>
      <c r="BM53" s="110">
        <f t="shared" si="22"/>
        <v>62.79</v>
      </c>
      <c r="BN53" s="110">
        <f t="shared" si="23"/>
        <v>1103.6300000000001</v>
      </c>
      <c r="BO53" s="110">
        <v>1036.83</v>
      </c>
      <c r="BP53" s="129">
        <v>57.7</v>
      </c>
      <c r="BQ53" s="110">
        <f t="shared" si="24"/>
        <v>4.0100000000002183</v>
      </c>
      <c r="BR53" s="110">
        <f t="shared" si="25"/>
        <v>5.0899999999999963</v>
      </c>
      <c r="BS53" s="110">
        <f t="shared" si="26"/>
        <v>94.26</v>
      </c>
      <c r="BT53" s="110">
        <f t="shared" si="27"/>
        <v>5.25</v>
      </c>
      <c r="BU53" s="110">
        <f>ROUND(BS53-BQ53,2)</f>
        <v>90.25</v>
      </c>
      <c r="BV53" s="110">
        <v>0</v>
      </c>
      <c r="BW53" s="111">
        <v>5</v>
      </c>
      <c r="CA53" s="110">
        <f t="shared" si="29"/>
        <v>1136.0900000000001</v>
      </c>
      <c r="CB53" s="110">
        <f t="shared" si="30"/>
        <v>62.79</v>
      </c>
    </row>
    <row r="54" spans="1:80" ht="31.2" x14ac:dyDescent="0.3">
      <c r="A54" s="13">
        <v>38</v>
      </c>
      <c r="B54" s="13"/>
      <c r="C54" s="14"/>
      <c r="D54" s="148" t="s">
        <v>559</v>
      </c>
      <c r="E54" s="16"/>
      <c r="F54" s="82">
        <v>0</v>
      </c>
      <c r="G54" s="82">
        <v>0</v>
      </c>
      <c r="H54" s="82">
        <v>0</v>
      </c>
      <c r="I54" s="17">
        <v>0</v>
      </c>
      <c r="J54" s="87">
        <v>0</v>
      </c>
      <c r="K54" s="88">
        <v>0</v>
      </c>
      <c r="L54" s="88">
        <v>0</v>
      </c>
      <c r="M54" s="88">
        <f>J54+K54+L54</f>
        <v>0</v>
      </c>
      <c r="N54" s="88">
        <v>0</v>
      </c>
      <c r="O54" s="88">
        <v>0</v>
      </c>
      <c r="P54" s="88">
        <v>0</v>
      </c>
      <c r="Q54" s="88">
        <f>N54+O54+P54</f>
        <v>0</v>
      </c>
      <c r="R54" s="88">
        <f t="shared" si="99"/>
        <v>0</v>
      </c>
      <c r="S54" s="88">
        <v>0</v>
      </c>
      <c r="V54" s="17">
        <f t="shared" ref="V54" si="132">ROUND(H54*1.0583,2)</f>
        <v>0</v>
      </c>
      <c r="W54" s="17">
        <f t="shared" ref="W54" si="133">ROUND(I54*1.0327,2)</f>
        <v>0</v>
      </c>
      <c r="X54" s="110">
        <f t="shared" si="2"/>
        <v>0</v>
      </c>
      <c r="Y54" s="110">
        <f t="shared" si="3"/>
        <v>0</v>
      </c>
      <c r="Z54" s="110">
        <v>0</v>
      </c>
      <c r="AA54" s="110"/>
      <c r="AB54" s="110">
        <f t="shared" si="4"/>
        <v>0</v>
      </c>
      <c r="AC54" s="111">
        <f t="shared" si="5"/>
        <v>0</v>
      </c>
      <c r="AD54" s="110">
        <f t="shared" ref="AD54" si="134">IF(X54&gt;0,V54,R54)</f>
        <v>0</v>
      </c>
      <c r="AE54" s="110">
        <f t="shared" ref="AE54" si="135">IF(Y54&gt;0,W54,S54)</f>
        <v>0</v>
      </c>
      <c r="AF54" s="110">
        <f t="shared" si="6"/>
        <v>0</v>
      </c>
      <c r="AG54" s="110">
        <f t="shared" si="7"/>
        <v>0</v>
      </c>
      <c r="AH54" s="110">
        <f t="shared" si="33"/>
        <v>0</v>
      </c>
      <c r="AI54" s="129">
        <f t="shared" si="8"/>
        <v>0</v>
      </c>
      <c r="AJ54" s="110">
        <f t="shared" si="9"/>
        <v>0</v>
      </c>
      <c r="AM54" s="110">
        <f t="shared" si="10"/>
        <v>0</v>
      </c>
      <c r="AN54" s="110">
        <f t="shared" si="11"/>
        <v>0</v>
      </c>
      <c r="AQ54" s="110">
        <f t="shared" si="12"/>
        <v>0</v>
      </c>
      <c r="AR54" s="110">
        <f t="shared" si="13"/>
        <v>0</v>
      </c>
      <c r="AU54" s="110">
        <f t="shared" si="0"/>
        <v>0</v>
      </c>
      <c r="AV54" s="110">
        <f t="shared" ref="AV54:AV112" si="136">ROUND(AE54*25%,2)</f>
        <v>0</v>
      </c>
      <c r="AY54" s="110">
        <f t="shared" si="15"/>
        <v>0</v>
      </c>
      <c r="AZ54" s="110">
        <f t="shared" si="16"/>
        <v>0</v>
      </c>
      <c r="BA54" s="110">
        <f t="shared" si="17"/>
        <v>0</v>
      </c>
      <c r="BB54" s="142">
        <v>0</v>
      </c>
      <c r="BD54" s="142">
        <f t="shared" si="18"/>
        <v>0</v>
      </c>
      <c r="BE54" s="142">
        <f t="shared" si="19"/>
        <v>0</v>
      </c>
      <c r="BF54" s="142">
        <f t="shared" si="20"/>
        <v>0</v>
      </c>
      <c r="BG54" s="142">
        <f t="shared" si="21"/>
        <v>0</v>
      </c>
      <c r="BH54" s="110">
        <v>0</v>
      </c>
      <c r="BI54" s="110">
        <v>0</v>
      </c>
      <c r="BL54" s="110">
        <f t="shared" si="1"/>
        <v>0</v>
      </c>
      <c r="BM54" s="110">
        <f t="shared" si="22"/>
        <v>0</v>
      </c>
      <c r="BN54" s="110">
        <f t="shared" si="23"/>
        <v>0</v>
      </c>
      <c r="BP54" s="129"/>
      <c r="BQ54" s="110">
        <f t="shared" si="24"/>
        <v>0</v>
      </c>
      <c r="BR54" s="110">
        <f t="shared" si="25"/>
        <v>0</v>
      </c>
      <c r="BS54" s="110">
        <f t="shared" si="26"/>
        <v>0</v>
      </c>
      <c r="BT54" s="110">
        <f t="shared" si="27"/>
        <v>0</v>
      </c>
      <c r="BU54" s="110">
        <f t="shared" ref="BU54:BU55" si="137">ROUND(BS54-BQ54,2)</f>
        <v>0</v>
      </c>
      <c r="BV54" s="110">
        <f t="shared" si="94"/>
        <v>0</v>
      </c>
      <c r="CA54" s="110">
        <f t="shared" si="29"/>
        <v>0</v>
      </c>
      <c r="CB54" s="110">
        <f t="shared" si="30"/>
        <v>0</v>
      </c>
    </row>
    <row r="55" spans="1:80" ht="18" x14ac:dyDescent="0.3">
      <c r="A55" s="13"/>
      <c r="B55" s="13"/>
      <c r="C55" s="14"/>
      <c r="D55" s="148" t="s">
        <v>560</v>
      </c>
      <c r="E55" s="16"/>
      <c r="F55" s="82"/>
      <c r="G55" s="82"/>
      <c r="H55" s="82"/>
      <c r="I55" s="17"/>
      <c r="J55" s="87"/>
      <c r="K55" s="88"/>
      <c r="L55" s="88"/>
      <c r="M55" s="88"/>
      <c r="N55" s="88"/>
      <c r="O55" s="88"/>
      <c r="P55" s="88"/>
      <c r="Q55" s="88"/>
      <c r="R55" s="88"/>
      <c r="S55" s="88"/>
      <c r="V55" s="17"/>
      <c r="W55" s="17"/>
      <c r="X55" s="110"/>
      <c r="Y55" s="110"/>
      <c r="Z55" s="110"/>
      <c r="AA55" s="110"/>
      <c r="AB55" s="110"/>
      <c r="AC55" s="111"/>
      <c r="AD55" s="110"/>
      <c r="AE55" s="110"/>
      <c r="AF55" s="110"/>
      <c r="AG55" s="110"/>
      <c r="AH55" s="110"/>
      <c r="AI55" s="129"/>
      <c r="AY55" s="110">
        <f t="shared" si="15"/>
        <v>0</v>
      </c>
      <c r="AZ55" s="110">
        <f t="shared" si="16"/>
        <v>0</v>
      </c>
      <c r="BA55" s="110">
        <f t="shared" si="17"/>
        <v>0</v>
      </c>
      <c r="BB55" s="142">
        <v>0</v>
      </c>
      <c r="BD55" s="142">
        <f t="shared" si="18"/>
        <v>0</v>
      </c>
      <c r="BE55" s="142">
        <f t="shared" si="19"/>
        <v>0</v>
      </c>
      <c r="BF55" s="142">
        <f t="shared" si="20"/>
        <v>0</v>
      </c>
      <c r="BG55" s="142">
        <f t="shared" si="21"/>
        <v>0</v>
      </c>
      <c r="BH55" s="110">
        <v>0</v>
      </c>
      <c r="BI55" s="110">
        <v>0</v>
      </c>
      <c r="BL55" s="110">
        <f t="shared" si="1"/>
        <v>0</v>
      </c>
      <c r="BM55" s="110">
        <f t="shared" si="22"/>
        <v>0</v>
      </c>
      <c r="BN55" s="110">
        <f t="shared" si="23"/>
        <v>0</v>
      </c>
      <c r="BP55" s="129"/>
      <c r="BQ55" s="110">
        <f t="shared" si="24"/>
        <v>0</v>
      </c>
      <c r="BR55" s="110">
        <f t="shared" si="25"/>
        <v>0</v>
      </c>
      <c r="BS55" s="110">
        <f t="shared" si="26"/>
        <v>0</v>
      </c>
      <c r="BT55" s="110">
        <f t="shared" si="27"/>
        <v>0</v>
      </c>
      <c r="BU55" s="110">
        <f t="shared" si="137"/>
        <v>0</v>
      </c>
      <c r="BV55" s="110">
        <f t="shared" si="94"/>
        <v>0</v>
      </c>
      <c r="CA55" s="110">
        <f t="shared" si="29"/>
        <v>0</v>
      </c>
      <c r="CB55" s="110">
        <f t="shared" si="30"/>
        <v>0</v>
      </c>
    </row>
    <row r="56" spans="1:80" ht="18" x14ac:dyDescent="0.3">
      <c r="A56" s="18"/>
      <c r="B56" s="18" t="s">
        <v>80</v>
      </c>
      <c r="C56" s="19" t="s">
        <v>40</v>
      </c>
      <c r="D56" s="20" t="s">
        <v>79</v>
      </c>
      <c r="E56" s="21" t="s">
        <v>81</v>
      </c>
      <c r="F56" s="22">
        <f t="shared" ref="F56" si="138">+F53+F54+F55</f>
        <v>971.93000000000006</v>
      </c>
      <c r="G56" s="22">
        <f t="shared" ref="G56" si="139">+G53+G54+G55</f>
        <v>120.08999999999999</v>
      </c>
      <c r="H56" s="22">
        <f t="shared" ref="H56" si="140">+H53+H54+H55</f>
        <v>960</v>
      </c>
      <c r="I56" s="22">
        <f t="shared" ref="I56" si="141">+I53+I54+I55</f>
        <v>98.569999999999979</v>
      </c>
      <c r="J56" s="22">
        <f t="shared" ref="J56" si="142">+J53+J54+J55</f>
        <v>1090</v>
      </c>
      <c r="K56" s="22">
        <f t="shared" ref="K56" si="143">+K53+K54+K55</f>
        <v>0</v>
      </c>
      <c r="L56" s="22">
        <f t="shared" ref="L56" si="144">+L53+L54+L55</f>
        <v>0</v>
      </c>
      <c r="M56" s="22">
        <f t="shared" ref="M56" si="145">+M53+M54+M55</f>
        <v>1090</v>
      </c>
      <c r="N56" s="22">
        <f t="shared" ref="N56" si="146">+N53+N54+N55</f>
        <v>0</v>
      </c>
      <c r="O56" s="22">
        <f t="shared" ref="O56" si="147">+O53+O54+O55</f>
        <v>0</v>
      </c>
      <c r="P56" s="22">
        <f t="shared" ref="P56" si="148">+P53+P54+P55</f>
        <v>0</v>
      </c>
      <c r="Q56" s="22">
        <f t="shared" ref="Q56" si="149">+Q53+Q54+Q55</f>
        <v>0</v>
      </c>
      <c r="R56" s="22">
        <f t="shared" ref="R56" si="150">+R53+R54+R55</f>
        <v>1090</v>
      </c>
      <c r="S56" s="22">
        <f t="shared" ref="S56" si="151">+S53+S54+S55</f>
        <v>113</v>
      </c>
      <c r="T56" s="22">
        <f t="shared" ref="T56" si="152">+T53+T54+T55</f>
        <v>0</v>
      </c>
      <c r="U56" s="22">
        <f t="shared" ref="U56" si="153">+U53+U54+U55</f>
        <v>0</v>
      </c>
      <c r="V56" s="22">
        <f t="shared" ref="V56" si="154">+V53+V54+V55</f>
        <v>1015.97</v>
      </c>
      <c r="W56" s="22">
        <f t="shared" ref="W56" si="155">+W53+W54+W55</f>
        <v>101.79</v>
      </c>
      <c r="X56" s="22">
        <f t="shared" ref="X56" si="156">+X53+X54+X55</f>
        <v>74.029999999999973</v>
      </c>
      <c r="Y56" s="22">
        <f t="shared" ref="Y56" si="157">+Y53+Y54+Y55</f>
        <v>11.209999999999994</v>
      </c>
      <c r="Z56" s="22">
        <f t="shared" ref="Z56" si="158">+Z53+Z54+Z55</f>
        <v>1015.97</v>
      </c>
      <c r="AA56" s="22">
        <f t="shared" ref="AA56" si="159">+AA53+AA54+AA55</f>
        <v>0</v>
      </c>
      <c r="AB56" s="22">
        <f t="shared" ref="AB56" si="160">+AB53+AB54+AB55</f>
        <v>1015.97</v>
      </c>
      <c r="AC56" s="22">
        <f t="shared" ref="AC56" si="161">+AC53+AC54+AC55</f>
        <v>0</v>
      </c>
      <c r="AD56" s="22">
        <f t="shared" ref="AD56" si="162">+AD53+AD54+AD55</f>
        <v>1015.97</v>
      </c>
      <c r="AE56" s="22">
        <f t="shared" ref="AE56" si="163">+AE53+AE54+AE55</f>
        <v>101.79</v>
      </c>
      <c r="AF56" s="22">
        <f t="shared" ref="AF56" si="164">+AF53+AF54+AF55</f>
        <v>101.95</v>
      </c>
      <c r="AG56" s="22">
        <f t="shared" ref="AG56" si="165">+AG53+AG54+AG55</f>
        <v>254</v>
      </c>
      <c r="AH56" s="22">
        <f t="shared" ref="AH56" si="166">+AH53+AH54+AH55</f>
        <v>25</v>
      </c>
      <c r="AI56" s="22">
        <f t="shared" ref="AI56" si="167">+AI53+AI54+AI55</f>
        <v>85</v>
      </c>
      <c r="AJ56" s="22">
        <f t="shared" ref="AJ56" si="168">+AJ53+AJ54+AJ55</f>
        <v>8</v>
      </c>
      <c r="AK56" s="22">
        <f t="shared" ref="AK56" si="169">+AK53+AK54+AK55</f>
        <v>0</v>
      </c>
      <c r="AL56" s="22">
        <f t="shared" ref="AL56" si="170">+AL53+AL54+AL55</f>
        <v>0</v>
      </c>
      <c r="AM56" s="22">
        <f t="shared" ref="AM56" si="171">+AM53+AM54+AM55</f>
        <v>253.99</v>
      </c>
      <c r="AN56" s="22">
        <f t="shared" ref="AN56" si="172">+AN53+AN54+AN55</f>
        <v>24.79</v>
      </c>
      <c r="AO56" s="22">
        <f t="shared" ref="AO56" si="173">+AO53+AO54+AO55</f>
        <v>0</v>
      </c>
      <c r="AP56" s="22">
        <f t="shared" ref="AP56" si="174">+AP53+AP54+AP55</f>
        <v>0</v>
      </c>
      <c r="AQ56" s="22">
        <f t="shared" ref="AQ56" si="175">+AQ53+AQ54+AQ55</f>
        <v>507.99</v>
      </c>
      <c r="AR56" s="22">
        <f t="shared" ref="AR56" si="176">+AR53+AR54+AR55</f>
        <v>49.79</v>
      </c>
      <c r="AS56" s="22">
        <f t="shared" ref="AS56" si="177">+AS53+AS54+AS55</f>
        <v>60</v>
      </c>
      <c r="AT56" s="22">
        <f t="shared" ref="AT56" si="178">+AT53+AT54+AT55</f>
        <v>0</v>
      </c>
      <c r="AU56" s="22">
        <f t="shared" ref="AU56" si="179">+AU53+AU54+AU55</f>
        <v>253.99</v>
      </c>
      <c r="AV56" s="22">
        <f t="shared" ref="AV56:CB56" si="180">+AV53+AV54+AV55</f>
        <v>0</v>
      </c>
      <c r="AW56" s="22">
        <f t="shared" si="180"/>
        <v>40</v>
      </c>
      <c r="AX56" s="22">
        <f t="shared" si="180"/>
        <v>0</v>
      </c>
      <c r="AY56" s="22">
        <f t="shared" si="180"/>
        <v>946.98</v>
      </c>
      <c r="AZ56" s="22">
        <f t="shared" si="180"/>
        <v>57.79</v>
      </c>
      <c r="BA56" s="22">
        <f t="shared" si="180"/>
        <v>1004.77</v>
      </c>
      <c r="BB56" s="22">
        <f t="shared" si="180"/>
        <v>938.96</v>
      </c>
      <c r="BC56" s="22">
        <f t="shared" si="180"/>
        <v>57.7</v>
      </c>
      <c r="BD56" s="22">
        <f t="shared" si="180"/>
        <v>8.0199999999999818</v>
      </c>
      <c r="BE56" s="22">
        <f t="shared" si="180"/>
        <v>8.9999999999996305E-2</v>
      </c>
      <c r="BF56" s="22">
        <f t="shared" si="180"/>
        <v>187.79</v>
      </c>
      <c r="BG56" s="120">
        <f t="shared" si="180"/>
        <v>11.54</v>
      </c>
      <c r="BH56" s="120">
        <f t="shared" si="180"/>
        <v>63.86</v>
      </c>
      <c r="BI56" s="120">
        <f t="shared" si="180"/>
        <v>0</v>
      </c>
      <c r="BJ56" s="120">
        <f t="shared" si="180"/>
        <v>30</v>
      </c>
      <c r="BK56" s="120">
        <f t="shared" si="180"/>
        <v>5</v>
      </c>
      <c r="BL56" s="120">
        <f t="shared" si="180"/>
        <v>1040.8400000000001</v>
      </c>
      <c r="BM56" s="120">
        <f t="shared" si="180"/>
        <v>62.79</v>
      </c>
      <c r="BN56" s="120">
        <f t="shared" si="180"/>
        <v>1103.6300000000001</v>
      </c>
      <c r="BO56" s="120">
        <f t="shared" si="180"/>
        <v>1036.83</v>
      </c>
      <c r="BP56" s="120">
        <f t="shared" si="180"/>
        <v>57.7</v>
      </c>
      <c r="BQ56" s="22">
        <f t="shared" si="180"/>
        <v>4.0100000000002183</v>
      </c>
      <c r="BR56" s="22">
        <f t="shared" si="180"/>
        <v>5.0899999999999963</v>
      </c>
      <c r="BS56" s="22">
        <f t="shared" si="180"/>
        <v>94.26</v>
      </c>
      <c r="BT56" s="22">
        <f t="shared" si="180"/>
        <v>5.25</v>
      </c>
      <c r="BU56" s="22">
        <f t="shared" si="180"/>
        <v>90.25</v>
      </c>
      <c r="BV56" s="22">
        <f t="shared" si="180"/>
        <v>0</v>
      </c>
      <c r="BW56" s="22">
        <f t="shared" si="180"/>
        <v>5</v>
      </c>
      <c r="BX56" s="22">
        <f t="shared" si="180"/>
        <v>0</v>
      </c>
      <c r="BY56" s="22">
        <f t="shared" si="180"/>
        <v>0</v>
      </c>
      <c r="BZ56" s="22">
        <f t="shared" si="180"/>
        <v>0</v>
      </c>
      <c r="CA56" s="22">
        <f t="shared" si="180"/>
        <v>1136.0900000000001</v>
      </c>
      <c r="CB56" s="22">
        <f t="shared" si="180"/>
        <v>62.79</v>
      </c>
    </row>
    <row r="57" spans="1:80" ht="18" x14ac:dyDescent="0.3">
      <c r="A57" s="13">
        <v>39</v>
      </c>
      <c r="B57" s="13"/>
      <c r="C57" s="14"/>
      <c r="D57" s="122" t="s">
        <v>82</v>
      </c>
      <c r="E57" s="16"/>
      <c r="F57" s="82">
        <v>749.75</v>
      </c>
      <c r="G57" s="82">
        <v>52.2</v>
      </c>
      <c r="H57" s="82">
        <v>749.75</v>
      </c>
      <c r="I57" s="17">
        <v>37.450000000000003</v>
      </c>
      <c r="J57" s="87">
        <v>780</v>
      </c>
      <c r="K57" s="88">
        <v>0</v>
      </c>
      <c r="L57" s="88">
        <v>0</v>
      </c>
      <c r="M57" s="88">
        <f>J57+K57+L57</f>
        <v>780</v>
      </c>
      <c r="N57" s="88">
        <v>0</v>
      </c>
      <c r="O57" s="88">
        <v>0</v>
      </c>
      <c r="P57" s="88">
        <v>0</v>
      </c>
      <c r="Q57" s="88">
        <f>N57+O57+P57</f>
        <v>0</v>
      </c>
      <c r="R57" s="88">
        <f t="shared" si="99"/>
        <v>780</v>
      </c>
      <c r="S57" s="88">
        <v>0</v>
      </c>
      <c r="V57" s="17">
        <f t="shared" ref="V57" si="181">ROUND(H57*1.0583,2)</f>
        <v>793.46</v>
      </c>
      <c r="W57" s="17">
        <f t="shared" ref="W57" si="182">ROUND(I57*1.0327,2)</f>
        <v>38.67</v>
      </c>
      <c r="X57" s="111">
        <f t="shared" si="2"/>
        <v>-13.460000000000036</v>
      </c>
      <c r="Y57" s="111">
        <f t="shared" si="3"/>
        <v>-38.67</v>
      </c>
      <c r="Z57" s="118">
        <v>780</v>
      </c>
      <c r="AA57" s="118"/>
      <c r="AB57" s="118">
        <f t="shared" si="4"/>
        <v>780</v>
      </c>
      <c r="AC57" s="111">
        <f t="shared" si="5"/>
        <v>0</v>
      </c>
      <c r="AD57" s="110">
        <f t="shared" ref="AD57" si="183">IF(X57&gt;0,V57,R57)</f>
        <v>780</v>
      </c>
      <c r="AE57" s="110">
        <f>IF(Y57&gt;0,W57,S57)+12.95</f>
        <v>12.95</v>
      </c>
      <c r="AF57" s="110">
        <f t="shared" si="6"/>
        <v>0</v>
      </c>
      <c r="AG57" s="110">
        <f t="shared" si="7"/>
        <v>195</v>
      </c>
      <c r="AH57" s="110">
        <f>ROUND(AE57/4,0)-3</f>
        <v>0</v>
      </c>
      <c r="AI57" s="129">
        <f t="shared" si="8"/>
        <v>65</v>
      </c>
      <c r="AJ57" s="110">
        <f>ROUND(AE57/12,0)-1</f>
        <v>0</v>
      </c>
      <c r="AL57" s="145">
        <v>12.95</v>
      </c>
      <c r="AM57" s="110">
        <f t="shared" si="10"/>
        <v>195</v>
      </c>
      <c r="AN57" s="110">
        <f>ROUND(AE57*24.35%,2)-3.15</f>
        <v>0</v>
      </c>
      <c r="AQ57" s="110">
        <f t="shared" si="12"/>
        <v>390</v>
      </c>
      <c r="AR57" s="118">
        <f t="shared" si="13"/>
        <v>12.95</v>
      </c>
      <c r="AS57" s="146">
        <v>25</v>
      </c>
      <c r="AT57" s="118"/>
      <c r="AU57" s="118">
        <f>ROUND(AD57*25%,2)+10</f>
        <v>205</v>
      </c>
      <c r="AV57" s="118">
        <f>ROUND(AE57*25%,2)-1.69+0.2</f>
        <v>1.7500000000000002</v>
      </c>
      <c r="AW57" s="118"/>
      <c r="AX57" s="118"/>
      <c r="AY57" s="110">
        <f t="shared" si="15"/>
        <v>685</v>
      </c>
      <c r="AZ57" s="110">
        <f t="shared" si="16"/>
        <v>14.7</v>
      </c>
      <c r="BA57" s="110">
        <f t="shared" si="17"/>
        <v>699.7</v>
      </c>
      <c r="BB57" s="142">
        <v>674.75</v>
      </c>
      <c r="BC57" s="142">
        <v>14.47</v>
      </c>
      <c r="BD57" s="142">
        <f t="shared" si="18"/>
        <v>10.25</v>
      </c>
      <c r="BE57" s="142">
        <f t="shared" si="19"/>
        <v>0.22999999999999865</v>
      </c>
      <c r="BF57" s="142">
        <f t="shared" si="20"/>
        <v>134.94999999999999</v>
      </c>
      <c r="BG57" s="142">
        <f t="shared" si="21"/>
        <v>2.89</v>
      </c>
      <c r="BH57" s="110">
        <v>62.35</v>
      </c>
      <c r="BI57" s="111">
        <v>0</v>
      </c>
      <c r="BJ57" s="111"/>
      <c r="BK57" s="111"/>
      <c r="BL57" s="110">
        <f t="shared" si="1"/>
        <v>747.35</v>
      </c>
      <c r="BM57" s="110">
        <f t="shared" si="22"/>
        <v>14.7</v>
      </c>
      <c r="BN57" s="110">
        <f t="shared" si="23"/>
        <v>762.05000000000007</v>
      </c>
      <c r="BO57" s="110">
        <v>743.89</v>
      </c>
      <c r="BP57" s="129">
        <v>14.7</v>
      </c>
      <c r="BQ57" s="110">
        <f t="shared" si="24"/>
        <v>3.4600000000000364</v>
      </c>
      <c r="BR57" s="110">
        <f t="shared" si="25"/>
        <v>0</v>
      </c>
      <c r="BS57" s="110">
        <f t="shared" si="26"/>
        <v>67.63</v>
      </c>
      <c r="BT57" s="110">
        <f t="shared" si="27"/>
        <v>1.34</v>
      </c>
      <c r="BU57" s="146">
        <f>BS57-BQ57+15+1.48</f>
        <v>80.649999999999963</v>
      </c>
      <c r="BV57" s="110">
        <v>0</v>
      </c>
      <c r="CA57" s="110">
        <f t="shared" si="29"/>
        <v>828</v>
      </c>
      <c r="CB57" s="110">
        <f t="shared" si="30"/>
        <v>14.7</v>
      </c>
    </row>
    <row r="58" spans="1:80" ht="18" x14ac:dyDescent="0.3">
      <c r="A58" s="13">
        <v>40</v>
      </c>
      <c r="B58" s="13"/>
      <c r="C58" s="14"/>
      <c r="D58" s="15" t="s">
        <v>83</v>
      </c>
      <c r="E58" s="16"/>
      <c r="F58" s="82">
        <v>929.07999999999993</v>
      </c>
      <c r="G58" s="82">
        <v>0</v>
      </c>
      <c r="H58" s="82">
        <v>929.07999999999993</v>
      </c>
      <c r="I58" s="17">
        <v>0</v>
      </c>
      <c r="J58" s="87">
        <v>950</v>
      </c>
      <c r="K58" s="88">
        <v>0</v>
      </c>
      <c r="L58" s="88">
        <v>0</v>
      </c>
      <c r="M58" s="88">
        <f>J58+K58+L58</f>
        <v>950</v>
      </c>
      <c r="N58" s="88">
        <v>100</v>
      </c>
      <c r="O58" s="88">
        <v>0</v>
      </c>
      <c r="P58" s="88">
        <v>0</v>
      </c>
      <c r="Q58" s="88">
        <f>N58+O58+P58</f>
        <v>100</v>
      </c>
      <c r="R58" s="88">
        <f t="shared" si="99"/>
        <v>1050</v>
      </c>
      <c r="S58" s="88">
        <v>0</v>
      </c>
      <c r="V58" s="17">
        <f t="shared" ref="V58" si="184">ROUND(H58*1.0583,2)</f>
        <v>983.25</v>
      </c>
      <c r="W58" s="17">
        <f t="shared" ref="W58" si="185">ROUND(I58*1.0327,2)</f>
        <v>0</v>
      </c>
      <c r="X58" s="110">
        <f t="shared" si="2"/>
        <v>66.75</v>
      </c>
      <c r="Y58" s="110">
        <f t="shared" si="3"/>
        <v>0</v>
      </c>
      <c r="Z58" s="110">
        <v>900</v>
      </c>
      <c r="AA58" s="110">
        <v>83.25</v>
      </c>
      <c r="AB58" s="110">
        <f t="shared" si="4"/>
        <v>983.25</v>
      </c>
      <c r="AC58" s="111">
        <f t="shared" si="5"/>
        <v>0</v>
      </c>
      <c r="AD58" s="110">
        <f t="shared" ref="AD58" si="186">IF(X58&gt;0,V58,R58)</f>
        <v>983.25</v>
      </c>
      <c r="AE58" s="110">
        <f t="shared" ref="AE58" si="187">IF(Y58&gt;0,W58,S58)</f>
        <v>0</v>
      </c>
      <c r="AF58" s="110">
        <f t="shared" si="6"/>
        <v>0</v>
      </c>
      <c r="AG58" s="110">
        <f t="shared" si="7"/>
        <v>246</v>
      </c>
      <c r="AH58" s="110">
        <f t="shared" si="33"/>
        <v>0</v>
      </c>
      <c r="AI58" s="129">
        <f t="shared" si="8"/>
        <v>82</v>
      </c>
      <c r="AJ58" s="110">
        <f t="shared" si="9"/>
        <v>0</v>
      </c>
      <c r="AM58" s="110">
        <f t="shared" si="10"/>
        <v>245.81</v>
      </c>
      <c r="AN58" s="110">
        <f t="shared" si="11"/>
        <v>0</v>
      </c>
      <c r="AQ58" s="110">
        <f t="shared" si="12"/>
        <v>491.81</v>
      </c>
      <c r="AR58" s="110">
        <f t="shared" si="13"/>
        <v>0</v>
      </c>
      <c r="AU58" s="110">
        <f t="shared" si="0"/>
        <v>245.81</v>
      </c>
      <c r="AV58" s="110">
        <f t="shared" si="136"/>
        <v>0</v>
      </c>
      <c r="AY58" s="110">
        <f t="shared" si="15"/>
        <v>819.62</v>
      </c>
      <c r="AZ58" s="110">
        <f t="shared" si="16"/>
        <v>0</v>
      </c>
      <c r="BA58" s="110">
        <f t="shared" si="17"/>
        <v>819.62</v>
      </c>
      <c r="BB58" s="142">
        <v>818.92</v>
      </c>
      <c r="BD58" s="142">
        <f t="shared" si="18"/>
        <v>0.70000000000004547</v>
      </c>
      <c r="BE58" s="142">
        <f t="shared" si="19"/>
        <v>0</v>
      </c>
      <c r="BF58" s="142">
        <f t="shared" si="20"/>
        <v>163.78</v>
      </c>
      <c r="BG58" s="142">
        <f t="shared" si="21"/>
        <v>0</v>
      </c>
      <c r="BH58" s="110">
        <v>81.540000000000006</v>
      </c>
      <c r="BI58" s="110">
        <v>0</v>
      </c>
      <c r="BL58" s="110">
        <f t="shared" si="1"/>
        <v>901.16</v>
      </c>
      <c r="BM58" s="110">
        <f t="shared" si="22"/>
        <v>0</v>
      </c>
      <c r="BN58" s="110">
        <f t="shared" si="23"/>
        <v>901.16</v>
      </c>
      <c r="BO58" s="110">
        <v>818.92</v>
      </c>
      <c r="BP58" s="129"/>
      <c r="BQ58" s="110">
        <f t="shared" si="24"/>
        <v>82.240000000000009</v>
      </c>
      <c r="BR58" s="110">
        <f t="shared" si="25"/>
        <v>0</v>
      </c>
      <c r="BS58" s="110">
        <f t="shared" si="26"/>
        <v>74.45</v>
      </c>
      <c r="BT58" s="110">
        <f t="shared" si="27"/>
        <v>0</v>
      </c>
      <c r="BU58" s="110">
        <v>0</v>
      </c>
      <c r="BV58" s="110">
        <f t="shared" si="94"/>
        <v>0</v>
      </c>
      <c r="BW58" s="110">
        <v>248.84</v>
      </c>
      <c r="CA58" s="110">
        <f t="shared" si="29"/>
        <v>1150</v>
      </c>
      <c r="CB58" s="110">
        <f t="shared" si="30"/>
        <v>0</v>
      </c>
    </row>
    <row r="59" spans="1:80" ht="18" x14ac:dyDescent="0.3">
      <c r="A59" s="18"/>
      <c r="B59" s="18" t="s">
        <v>84</v>
      </c>
      <c r="C59" s="19" t="s">
        <v>85</v>
      </c>
      <c r="D59" s="20" t="s">
        <v>82</v>
      </c>
      <c r="E59" s="21" t="s">
        <v>86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9">
        <f t="shared" ref="J59:AA59" si="188">+J57+J58</f>
        <v>1730</v>
      </c>
      <c r="K59" s="89">
        <f t="shared" si="188"/>
        <v>0</v>
      </c>
      <c r="L59" s="89">
        <f t="shared" si="188"/>
        <v>0</v>
      </c>
      <c r="M59" s="89">
        <f t="shared" si="188"/>
        <v>1730</v>
      </c>
      <c r="N59" s="89">
        <f t="shared" si="188"/>
        <v>100</v>
      </c>
      <c r="O59" s="89">
        <f t="shared" si="188"/>
        <v>0</v>
      </c>
      <c r="P59" s="89">
        <f t="shared" si="188"/>
        <v>0</v>
      </c>
      <c r="Q59" s="89">
        <f t="shared" si="188"/>
        <v>100</v>
      </c>
      <c r="R59" s="89">
        <f t="shared" si="188"/>
        <v>1830</v>
      </c>
      <c r="S59" s="89">
        <f t="shared" si="188"/>
        <v>0</v>
      </c>
      <c r="T59" s="89">
        <f t="shared" si="188"/>
        <v>0</v>
      </c>
      <c r="U59" s="89">
        <f t="shared" si="188"/>
        <v>0</v>
      </c>
      <c r="V59" s="89">
        <f t="shared" si="188"/>
        <v>1776.71</v>
      </c>
      <c r="W59" s="89">
        <f t="shared" si="188"/>
        <v>38.67</v>
      </c>
      <c r="X59" s="89">
        <f t="shared" si="188"/>
        <v>53.289999999999964</v>
      </c>
      <c r="Y59" s="89">
        <f t="shared" si="188"/>
        <v>-38.67</v>
      </c>
      <c r="Z59" s="89">
        <f t="shared" si="188"/>
        <v>1680</v>
      </c>
      <c r="AA59" s="89">
        <f t="shared" si="188"/>
        <v>83.25</v>
      </c>
      <c r="AB59" s="22">
        <f t="shared" si="4"/>
        <v>1763.25</v>
      </c>
      <c r="AC59" s="111">
        <f t="shared" si="5"/>
        <v>0</v>
      </c>
      <c r="AD59" s="22">
        <f t="shared" ref="AD59:CB59" si="189">+AD57+AD58</f>
        <v>1763.25</v>
      </c>
      <c r="AE59" s="22">
        <f t="shared" si="189"/>
        <v>12.95</v>
      </c>
      <c r="AF59" s="22">
        <f t="shared" si="189"/>
        <v>0</v>
      </c>
      <c r="AG59" s="22">
        <f t="shared" si="189"/>
        <v>441</v>
      </c>
      <c r="AH59" s="22">
        <f t="shared" si="189"/>
        <v>0</v>
      </c>
      <c r="AI59" s="120">
        <f t="shared" si="189"/>
        <v>147</v>
      </c>
      <c r="AJ59" s="22">
        <f t="shared" si="189"/>
        <v>0</v>
      </c>
      <c r="AK59" s="22">
        <f t="shared" si="189"/>
        <v>0</v>
      </c>
      <c r="AL59" s="22">
        <f t="shared" si="189"/>
        <v>12.95</v>
      </c>
      <c r="AM59" s="22">
        <f t="shared" si="189"/>
        <v>440.81</v>
      </c>
      <c r="AN59" s="22">
        <f t="shared" si="189"/>
        <v>0</v>
      </c>
      <c r="AO59" s="22">
        <f t="shared" si="189"/>
        <v>0</v>
      </c>
      <c r="AP59" s="22">
        <f t="shared" si="189"/>
        <v>0</v>
      </c>
      <c r="AQ59" s="22">
        <f t="shared" si="189"/>
        <v>881.81</v>
      </c>
      <c r="AR59" s="22">
        <f t="shared" si="189"/>
        <v>12.95</v>
      </c>
      <c r="AS59" s="22">
        <f t="shared" si="189"/>
        <v>25</v>
      </c>
      <c r="AT59" s="22">
        <f t="shared" si="189"/>
        <v>0</v>
      </c>
      <c r="AU59" s="22">
        <f t="shared" si="189"/>
        <v>450.81</v>
      </c>
      <c r="AV59" s="22">
        <f t="shared" si="189"/>
        <v>1.7500000000000002</v>
      </c>
      <c r="AW59" s="22">
        <f t="shared" si="189"/>
        <v>0</v>
      </c>
      <c r="AX59" s="22">
        <f t="shared" si="189"/>
        <v>0</v>
      </c>
      <c r="AY59" s="22">
        <f t="shared" si="189"/>
        <v>1504.62</v>
      </c>
      <c r="AZ59" s="22">
        <f t="shared" si="189"/>
        <v>14.7</v>
      </c>
      <c r="BA59" s="22">
        <f t="shared" si="189"/>
        <v>1519.3200000000002</v>
      </c>
      <c r="BB59" s="22">
        <f t="shared" si="189"/>
        <v>1493.67</v>
      </c>
      <c r="BC59" s="22">
        <f t="shared" si="189"/>
        <v>14.47</v>
      </c>
      <c r="BD59" s="22">
        <f t="shared" si="189"/>
        <v>10.950000000000045</v>
      </c>
      <c r="BE59" s="22">
        <f t="shared" si="189"/>
        <v>0.22999999999999865</v>
      </c>
      <c r="BF59" s="22">
        <f t="shared" si="189"/>
        <v>298.73</v>
      </c>
      <c r="BG59" s="120">
        <f t="shared" si="189"/>
        <v>2.89</v>
      </c>
      <c r="BH59" s="120">
        <f t="shared" si="189"/>
        <v>143.89000000000001</v>
      </c>
      <c r="BI59" s="120">
        <f t="shared" si="189"/>
        <v>0</v>
      </c>
      <c r="BJ59" s="120">
        <f t="shared" si="189"/>
        <v>0</v>
      </c>
      <c r="BK59" s="120">
        <f t="shared" si="189"/>
        <v>0</v>
      </c>
      <c r="BL59" s="120">
        <f t="shared" si="189"/>
        <v>1648.51</v>
      </c>
      <c r="BM59" s="120">
        <f t="shared" si="189"/>
        <v>14.7</v>
      </c>
      <c r="BN59" s="120">
        <f t="shared" si="189"/>
        <v>1663.21</v>
      </c>
      <c r="BO59" s="120">
        <f t="shared" si="189"/>
        <v>1562.81</v>
      </c>
      <c r="BP59" s="120">
        <f t="shared" si="189"/>
        <v>14.7</v>
      </c>
      <c r="BQ59" s="22">
        <f t="shared" si="189"/>
        <v>85.700000000000045</v>
      </c>
      <c r="BR59" s="22">
        <f t="shared" si="189"/>
        <v>0</v>
      </c>
      <c r="BS59" s="22">
        <f t="shared" si="189"/>
        <v>142.07999999999998</v>
      </c>
      <c r="BT59" s="22">
        <f t="shared" si="189"/>
        <v>1.34</v>
      </c>
      <c r="BU59" s="22">
        <f t="shared" si="189"/>
        <v>80.649999999999963</v>
      </c>
      <c r="BV59" s="22">
        <f t="shared" si="189"/>
        <v>0</v>
      </c>
      <c r="BW59" s="22">
        <f t="shared" si="189"/>
        <v>248.84</v>
      </c>
      <c r="BX59" s="22">
        <f t="shared" si="189"/>
        <v>0</v>
      </c>
      <c r="BY59" s="22">
        <f t="shared" si="189"/>
        <v>0</v>
      </c>
      <c r="BZ59" s="22">
        <f t="shared" si="189"/>
        <v>0</v>
      </c>
      <c r="CA59" s="22">
        <f t="shared" si="189"/>
        <v>1978</v>
      </c>
      <c r="CB59" s="22">
        <f t="shared" si="189"/>
        <v>14.7</v>
      </c>
    </row>
    <row r="60" spans="1:80" ht="18" x14ac:dyDescent="0.3">
      <c r="A60" s="13">
        <v>41</v>
      </c>
      <c r="B60" s="13"/>
      <c r="C60" s="14"/>
      <c r="D60" s="15" t="s">
        <v>87</v>
      </c>
      <c r="E60" s="16"/>
      <c r="F60" s="82">
        <v>1708.36</v>
      </c>
      <c r="G60" s="82">
        <v>225.19</v>
      </c>
      <c r="H60" s="82">
        <v>1708.36</v>
      </c>
      <c r="I60" s="17">
        <v>260.19</v>
      </c>
      <c r="J60" s="87">
        <v>1700</v>
      </c>
      <c r="K60" s="88">
        <v>0</v>
      </c>
      <c r="L60" s="88">
        <v>0</v>
      </c>
      <c r="M60" s="88">
        <f>J60+K60+L60</f>
        <v>1700</v>
      </c>
      <c r="N60" s="88">
        <v>0</v>
      </c>
      <c r="O60" s="88">
        <v>0</v>
      </c>
      <c r="P60" s="88">
        <v>0</v>
      </c>
      <c r="Q60" s="88">
        <f>N60+O60+P60</f>
        <v>0</v>
      </c>
      <c r="R60" s="88">
        <f t="shared" si="99"/>
        <v>1700</v>
      </c>
      <c r="S60" s="88">
        <v>260</v>
      </c>
      <c r="V60" s="17">
        <f t="shared" ref="V60" si="190">ROUND(H60*1.0583,2)</f>
        <v>1807.96</v>
      </c>
      <c r="W60" s="17">
        <f t="shared" ref="W60" si="191">ROUND(I60*1.0327,2)</f>
        <v>268.7</v>
      </c>
      <c r="X60" s="111">
        <f t="shared" si="2"/>
        <v>-107.96000000000004</v>
      </c>
      <c r="Y60" s="111">
        <f t="shared" si="3"/>
        <v>-8.6999999999999886</v>
      </c>
      <c r="Z60" s="118">
        <v>1700</v>
      </c>
      <c r="AA60" s="118"/>
      <c r="AB60" s="118">
        <f t="shared" si="4"/>
        <v>1700</v>
      </c>
      <c r="AC60" s="111">
        <f t="shared" si="5"/>
        <v>0</v>
      </c>
      <c r="AD60" s="110">
        <f t="shared" ref="AD60" si="192">IF(X60&gt;0,V60,R60)</f>
        <v>1700</v>
      </c>
      <c r="AE60" s="110">
        <f t="shared" ref="AE60" si="193">IF(Y60&gt;0,W60,S60)</f>
        <v>260</v>
      </c>
      <c r="AF60" s="110">
        <f t="shared" si="6"/>
        <v>234.57</v>
      </c>
      <c r="AG60" s="110">
        <f t="shared" si="7"/>
        <v>425</v>
      </c>
      <c r="AH60" s="110">
        <f t="shared" si="33"/>
        <v>65</v>
      </c>
      <c r="AI60" s="129">
        <f t="shared" si="8"/>
        <v>142</v>
      </c>
      <c r="AJ60" s="110">
        <f t="shared" si="9"/>
        <v>22</v>
      </c>
      <c r="AM60" s="110">
        <f t="shared" si="10"/>
        <v>425</v>
      </c>
      <c r="AN60" s="110">
        <f t="shared" si="11"/>
        <v>63.31</v>
      </c>
      <c r="AQ60" s="110">
        <f t="shared" si="12"/>
        <v>850</v>
      </c>
      <c r="AR60" s="110">
        <f t="shared" si="13"/>
        <v>128.31</v>
      </c>
      <c r="AT60" s="146">
        <v>100</v>
      </c>
      <c r="AU60" s="110">
        <f t="shared" si="0"/>
        <v>425</v>
      </c>
      <c r="AV60" s="110">
        <f t="shared" si="136"/>
        <v>65</v>
      </c>
      <c r="AY60" s="110">
        <f t="shared" si="15"/>
        <v>1417</v>
      </c>
      <c r="AZ60" s="110">
        <f t="shared" si="16"/>
        <v>315.31</v>
      </c>
      <c r="BA60" s="110">
        <f t="shared" si="17"/>
        <v>1732.31</v>
      </c>
      <c r="BB60" s="142">
        <v>1360.05</v>
      </c>
      <c r="BC60" s="142">
        <v>251.48</v>
      </c>
      <c r="BD60" s="142">
        <f t="shared" si="18"/>
        <v>56.950000000000045</v>
      </c>
      <c r="BE60" s="142">
        <f t="shared" si="19"/>
        <v>63.830000000000013</v>
      </c>
      <c r="BF60" s="142">
        <f t="shared" si="20"/>
        <v>272.01</v>
      </c>
      <c r="BG60" s="142">
        <f t="shared" si="21"/>
        <v>50.3</v>
      </c>
      <c r="BH60" s="110">
        <v>107.53</v>
      </c>
      <c r="BI60" s="110">
        <v>0</v>
      </c>
      <c r="BL60" s="110">
        <f t="shared" si="1"/>
        <v>1524.53</v>
      </c>
      <c r="BM60" s="110">
        <f t="shared" si="22"/>
        <v>315.31</v>
      </c>
      <c r="BN60" s="110">
        <f t="shared" si="23"/>
        <v>1839.84</v>
      </c>
      <c r="BO60" s="110">
        <v>1499.9</v>
      </c>
      <c r="BP60" s="129">
        <v>274.45999999999998</v>
      </c>
      <c r="BQ60" s="110">
        <f t="shared" si="24"/>
        <v>24.629999999999882</v>
      </c>
      <c r="BR60" s="110">
        <f t="shared" si="25"/>
        <v>40.850000000000023</v>
      </c>
      <c r="BS60" s="110">
        <f t="shared" si="26"/>
        <v>136.35</v>
      </c>
      <c r="BT60" s="110">
        <f t="shared" si="27"/>
        <v>24.95</v>
      </c>
      <c r="BU60" s="111">
        <v>125</v>
      </c>
      <c r="BV60" s="110">
        <v>0</v>
      </c>
      <c r="BX60" s="110">
        <v>28.1</v>
      </c>
      <c r="CA60" s="110">
        <f t="shared" si="29"/>
        <v>1649.53</v>
      </c>
      <c r="CB60" s="110">
        <f t="shared" si="30"/>
        <v>343.41</v>
      </c>
    </row>
    <row r="61" spans="1:80" ht="18" x14ac:dyDescent="0.3">
      <c r="A61" s="13">
        <v>42</v>
      </c>
      <c r="B61" s="13"/>
      <c r="C61" s="14"/>
      <c r="D61" s="148" t="s">
        <v>561</v>
      </c>
      <c r="E61" s="16"/>
      <c r="F61" s="82">
        <v>647.14</v>
      </c>
      <c r="G61" s="82">
        <v>0</v>
      </c>
      <c r="H61" s="82">
        <v>793.22</v>
      </c>
      <c r="I61" s="17">
        <v>0</v>
      </c>
      <c r="J61" s="87">
        <v>950</v>
      </c>
      <c r="K61" s="88">
        <v>0</v>
      </c>
      <c r="L61" s="88">
        <v>0</v>
      </c>
      <c r="M61" s="88">
        <f t="shared" ref="M61:M84" si="194">J61+K61+L61</f>
        <v>950</v>
      </c>
      <c r="N61" s="88">
        <v>0</v>
      </c>
      <c r="O61" s="88">
        <v>0</v>
      </c>
      <c r="P61" s="88">
        <v>0</v>
      </c>
      <c r="Q61" s="88">
        <f t="shared" ref="Q61" si="195">N61+O61+P61</f>
        <v>0</v>
      </c>
      <c r="R61" s="88">
        <f t="shared" si="99"/>
        <v>950</v>
      </c>
      <c r="S61" s="88">
        <v>0</v>
      </c>
      <c r="V61" s="17">
        <f t="shared" ref="V61" si="196">ROUND(H61*1.0583,2)</f>
        <v>839.46</v>
      </c>
      <c r="W61" s="17">
        <f t="shared" ref="W61" si="197">ROUND(I61*1.0327,2)</f>
        <v>0</v>
      </c>
      <c r="X61" s="110">
        <f t="shared" si="2"/>
        <v>110.53999999999996</v>
      </c>
      <c r="Y61" s="110">
        <f t="shared" si="3"/>
        <v>0</v>
      </c>
      <c r="Z61" s="110">
        <v>2149.59</v>
      </c>
      <c r="AA61" s="110"/>
      <c r="AB61" s="110">
        <f t="shared" si="4"/>
        <v>2149.59</v>
      </c>
      <c r="AC61" s="111">
        <v>0</v>
      </c>
      <c r="AD61" s="111">
        <v>2149.59</v>
      </c>
      <c r="AE61" s="110">
        <v>0</v>
      </c>
      <c r="AF61" s="110">
        <v>0</v>
      </c>
      <c r="AG61" s="111">
        <f>538+25.78</f>
        <v>563.78</v>
      </c>
      <c r="AH61" s="110">
        <v>0</v>
      </c>
      <c r="AI61" s="129">
        <v>179</v>
      </c>
      <c r="AJ61" s="110">
        <v>0</v>
      </c>
      <c r="AK61" s="146">
        <f>50+25</f>
        <v>75</v>
      </c>
      <c r="AM61" s="110">
        <v>537.4</v>
      </c>
      <c r="AN61" s="110">
        <v>0</v>
      </c>
      <c r="AQ61" s="110">
        <f t="shared" si="12"/>
        <v>1176.1799999999998</v>
      </c>
      <c r="AR61" s="110">
        <v>0</v>
      </c>
      <c r="AU61" s="141">
        <v>297.39999999999998</v>
      </c>
      <c r="AV61" s="110">
        <v>0</v>
      </c>
      <c r="AY61" s="110">
        <f t="shared" si="15"/>
        <v>1652.58</v>
      </c>
      <c r="AZ61" s="110">
        <f t="shared" si="16"/>
        <v>0</v>
      </c>
      <c r="BA61" s="110">
        <f t="shared" si="17"/>
        <v>1652.58</v>
      </c>
      <c r="BB61" s="142">
        <v>1611.63</v>
      </c>
      <c r="BD61" s="142">
        <f t="shared" si="18"/>
        <v>40.949999999999818</v>
      </c>
      <c r="BE61" s="142">
        <f t="shared" si="19"/>
        <v>0</v>
      </c>
      <c r="BF61" s="142">
        <f t="shared" si="20"/>
        <v>322.33</v>
      </c>
      <c r="BG61" s="142">
        <f t="shared" si="21"/>
        <v>0</v>
      </c>
      <c r="BH61" s="146">
        <v>103.58</v>
      </c>
      <c r="BI61" s="110">
        <v>0</v>
      </c>
      <c r="BL61" s="110">
        <f t="shared" si="1"/>
        <v>1756.1599999999999</v>
      </c>
      <c r="BM61" s="110">
        <f t="shared" si="22"/>
        <v>0</v>
      </c>
      <c r="BN61" s="110">
        <f t="shared" si="23"/>
        <v>1756.1599999999999</v>
      </c>
      <c r="BO61" s="110">
        <v>1599.46</v>
      </c>
      <c r="BP61" s="129"/>
      <c r="BQ61" s="110">
        <f t="shared" si="24"/>
        <v>156.69999999999982</v>
      </c>
      <c r="BR61" s="110">
        <f t="shared" si="25"/>
        <v>0</v>
      </c>
      <c r="BS61" s="110">
        <f t="shared" si="26"/>
        <v>145.41</v>
      </c>
      <c r="BT61" s="110">
        <f t="shared" si="27"/>
        <v>0</v>
      </c>
      <c r="BU61" s="111">
        <v>15</v>
      </c>
      <c r="BV61" s="110">
        <f t="shared" si="94"/>
        <v>0</v>
      </c>
      <c r="BW61" s="111">
        <v>450</v>
      </c>
      <c r="CA61" s="110">
        <f t="shared" si="29"/>
        <v>2221.16</v>
      </c>
      <c r="CB61" s="110">
        <f t="shared" si="30"/>
        <v>0</v>
      </c>
    </row>
    <row r="62" spans="1:80" ht="18" x14ac:dyDescent="0.3">
      <c r="A62" s="18"/>
      <c r="B62" s="18" t="s">
        <v>88</v>
      </c>
      <c r="C62" s="19" t="s">
        <v>89</v>
      </c>
      <c r="D62" s="20" t="s">
        <v>87</v>
      </c>
      <c r="E62" s="21" t="s">
        <v>90</v>
      </c>
      <c r="F62" s="22">
        <v>3412.94</v>
      </c>
      <c r="G62" s="22">
        <v>225.19</v>
      </c>
      <c r="H62" s="22">
        <v>3745.32</v>
      </c>
      <c r="I62" s="22">
        <v>260.19</v>
      </c>
      <c r="J62" s="89" t="e">
        <f>+J60+J61+#REF!+#REF!</f>
        <v>#REF!</v>
      </c>
      <c r="K62" s="89" t="e">
        <f>+K60+K61+#REF!+#REF!</f>
        <v>#REF!</v>
      </c>
      <c r="L62" s="89" t="e">
        <f>+L60+L61+#REF!+#REF!</f>
        <v>#REF!</v>
      </c>
      <c r="M62" s="89" t="e">
        <f>+M60+M61+#REF!+#REF!</f>
        <v>#REF!</v>
      </c>
      <c r="N62" s="89" t="e">
        <f>+N60+N61+#REF!+#REF!</f>
        <v>#REF!</v>
      </c>
      <c r="O62" s="89" t="e">
        <f>+O60+O61+#REF!+#REF!</f>
        <v>#REF!</v>
      </c>
      <c r="P62" s="89" t="e">
        <f>+P60+P61+#REF!+#REF!</f>
        <v>#REF!</v>
      </c>
      <c r="Q62" s="89" t="e">
        <f>+Q60+Q61+#REF!+#REF!</f>
        <v>#REF!</v>
      </c>
      <c r="R62" s="89" t="e">
        <f>+R60+R61+#REF!+#REF!</f>
        <v>#REF!</v>
      </c>
      <c r="S62" s="89" t="e">
        <f>+S60+S61+#REF!+#REF!</f>
        <v>#REF!</v>
      </c>
      <c r="T62" s="89" t="e">
        <f>+T60+T61+#REF!+#REF!</f>
        <v>#REF!</v>
      </c>
      <c r="U62" s="89" t="e">
        <f>+U60+U61+#REF!+#REF!</f>
        <v>#REF!</v>
      </c>
      <c r="V62" s="89" t="e">
        <f>+V60+V61+#REF!+#REF!</f>
        <v>#REF!</v>
      </c>
      <c r="W62" s="89" t="e">
        <f>+W60+W61+#REF!+#REF!</f>
        <v>#REF!</v>
      </c>
      <c r="X62" s="89" t="e">
        <f>+X60+X61+#REF!+#REF!</f>
        <v>#REF!</v>
      </c>
      <c r="Y62" s="89" t="e">
        <f>+Y60+Y61+#REF!+#REF!</f>
        <v>#REF!</v>
      </c>
      <c r="Z62" s="89" t="e">
        <f>+Z60+Z61+#REF!+#REF!</f>
        <v>#REF!</v>
      </c>
      <c r="AA62" s="89" t="e">
        <f>+AA60+AA61+#REF!+#REF!</f>
        <v>#REF!</v>
      </c>
      <c r="AB62" s="22" t="e">
        <f t="shared" si="4"/>
        <v>#REF!</v>
      </c>
      <c r="AC62" s="111">
        <v>0</v>
      </c>
      <c r="AD62" s="22">
        <f t="shared" ref="AD62" si="198">+AD60+AD61</f>
        <v>3849.59</v>
      </c>
      <c r="AE62" s="22">
        <f t="shared" ref="AE62" si="199">+AE60+AE61</f>
        <v>260</v>
      </c>
      <c r="AF62" s="22">
        <f t="shared" ref="AF62" si="200">+AF60+AF61</f>
        <v>234.57</v>
      </c>
      <c r="AG62" s="22">
        <f t="shared" ref="AG62" si="201">+AG60+AG61</f>
        <v>988.78</v>
      </c>
      <c r="AH62" s="22">
        <f t="shared" ref="AH62" si="202">+AH60+AH61</f>
        <v>65</v>
      </c>
      <c r="AI62" s="22">
        <f t="shared" ref="AI62" si="203">+AI60+AI61</f>
        <v>321</v>
      </c>
      <c r="AJ62" s="22">
        <f t="shared" ref="AJ62" si="204">+AJ60+AJ61</f>
        <v>22</v>
      </c>
      <c r="AK62" s="22">
        <f t="shared" ref="AK62" si="205">+AK60+AK61</f>
        <v>75</v>
      </c>
      <c r="AL62" s="22">
        <f t="shared" ref="AL62" si="206">+AL60+AL61</f>
        <v>0</v>
      </c>
      <c r="AM62" s="22">
        <f t="shared" ref="AM62" si="207">+AM60+AM61</f>
        <v>962.4</v>
      </c>
      <c r="AN62" s="22">
        <f t="shared" ref="AN62" si="208">+AN60+AN61</f>
        <v>63.31</v>
      </c>
      <c r="AO62" s="22">
        <f t="shared" ref="AO62" si="209">+AO60+AO61</f>
        <v>0</v>
      </c>
      <c r="AP62" s="22">
        <f t="shared" ref="AP62" si="210">+AP60+AP61</f>
        <v>0</v>
      </c>
      <c r="AQ62" s="22">
        <f t="shared" ref="AQ62" si="211">+AQ60+AQ61</f>
        <v>2026.1799999999998</v>
      </c>
      <c r="AR62" s="22">
        <f t="shared" ref="AR62" si="212">+AR60+AR61</f>
        <v>128.31</v>
      </c>
      <c r="AS62" s="22">
        <f t="shared" ref="AS62" si="213">+AS60+AS61</f>
        <v>0</v>
      </c>
      <c r="AT62" s="22">
        <f t="shared" ref="AT62" si="214">+AT60+AT61</f>
        <v>100</v>
      </c>
      <c r="AU62" s="22">
        <f t="shared" ref="AU62" si="215">+AU60+AU61</f>
        <v>722.4</v>
      </c>
      <c r="AV62" s="22">
        <f t="shared" ref="AV62" si="216">+AV60+AV61</f>
        <v>65</v>
      </c>
      <c r="AW62" s="22">
        <f t="shared" ref="AW62" si="217">+AW60+AW61</f>
        <v>0</v>
      </c>
      <c r="AX62" s="22">
        <f t="shared" ref="AX62" si="218">+AX60+AX61</f>
        <v>0</v>
      </c>
      <c r="AY62" s="22">
        <f t="shared" ref="AY62" si="219">+AY60+AY61</f>
        <v>3069.58</v>
      </c>
      <c r="AZ62" s="22">
        <f t="shared" ref="AZ62" si="220">+AZ60+AZ61</f>
        <v>315.31</v>
      </c>
      <c r="BA62" s="22">
        <f t="shared" ref="BA62" si="221">+BA60+BA61</f>
        <v>3384.89</v>
      </c>
      <c r="BB62" s="22">
        <f t="shared" ref="BB62" si="222">+BB60+BB61</f>
        <v>2971.6800000000003</v>
      </c>
      <c r="BC62" s="22">
        <f t="shared" ref="BC62" si="223">+BC60+BC61</f>
        <v>251.48</v>
      </c>
      <c r="BD62" s="22">
        <f t="shared" ref="BD62" si="224">+BD60+BD61</f>
        <v>97.899999999999864</v>
      </c>
      <c r="BE62" s="22">
        <f t="shared" ref="BE62" si="225">+BE60+BE61</f>
        <v>63.830000000000013</v>
      </c>
      <c r="BF62" s="22">
        <f t="shared" ref="BF62" si="226">+BF60+BF61</f>
        <v>594.33999999999992</v>
      </c>
      <c r="BG62" s="120">
        <f t="shared" ref="BG62:CB62" si="227">+BG60+BG61</f>
        <v>50.3</v>
      </c>
      <c r="BH62" s="120">
        <f t="shared" si="227"/>
        <v>211.11</v>
      </c>
      <c r="BI62" s="120">
        <f t="shared" si="227"/>
        <v>0</v>
      </c>
      <c r="BJ62" s="120">
        <f t="shared" si="227"/>
        <v>0</v>
      </c>
      <c r="BK62" s="120">
        <f t="shared" si="227"/>
        <v>0</v>
      </c>
      <c r="BL62" s="120">
        <f t="shared" si="227"/>
        <v>3280.6899999999996</v>
      </c>
      <c r="BM62" s="120">
        <f t="shared" si="227"/>
        <v>315.31</v>
      </c>
      <c r="BN62" s="120">
        <f t="shared" si="227"/>
        <v>3596</v>
      </c>
      <c r="BO62" s="120">
        <f t="shared" si="227"/>
        <v>3099.36</v>
      </c>
      <c r="BP62" s="120">
        <f t="shared" si="227"/>
        <v>274.45999999999998</v>
      </c>
      <c r="BQ62" s="22">
        <f t="shared" si="227"/>
        <v>181.3299999999997</v>
      </c>
      <c r="BR62" s="22">
        <f t="shared" si="227"/>
        <v>40.850000000000023</v>
      </c>
      <c r="BS62" s="22">
        <f t="shared" si="227"/>
        <v>281.76</v>
      </c>
      <c r="BT62" s="22">
        <f t="shared" si="227"/>
        <v>24.95</v>
      </c>
      <c r="BU62" s="22">
        <f t="shared" si="227"/>
        <v>140</v>
      </c>
      <c r="BV62" s="22">
        <f t="shared" si="227"/>
        <v>0</v>
      </c>
      <c r="BW62" s="22">
        <f t="shared" si="227"/>
        <v>450</v>
      </c>
      <c r="BX62" s="22">
        <f t="shared" si="227"/>
        <v>28.1</v>
      </c>
      <c r="BY62" s="22">
        <f t="shared" si="227"/>
        <v>0</v>
      </c>
      <c r="BZ62" s="22">
        <f t="shared" si="227"/>
        <v>0</v>
      </c>
      <c r="CA62" s="22">
        <f t="shared" si="227"/>
        <v>3870.6899999999996</v>
      </c>
      <c r="CB62" s="22">
        <f t="shared" si="227"/>
        <v>343.41</v>
      </c>
    </row>
    <row r="63" spans="1:80" ht="18" x14ac:dyDescent="0.3">
      <c r="A63" s="13">
        <v>45</v>
      </c>
      <c r="B63" s="13"/>
      <c r="C63" s="14"/>
      <c r="D63" s="15" t="s">
        <v>91</v>
      </c>
      <c r="E63" s="16"/>
      <c r="F63" s="82">
        <v>1160</v>
      </c>
      <c r="G63" s="82">
        <v>216.04999999999998</v>
      </c>
      <c r="H63" s="82">
        <v>1160</v>
      </c>
      <c r="I63" s="17">
        <v>216.04999999999998</v>
      </c>
      <c r="J63" s="87">
        <v>1290</v>
      </c>
      <c r="K63" s="88">
        <v>0</v>
      </c>
      <c r="L63" s="88">
        <v>0</v>
      </c>
      <c r="M63" s="88">
        <f t="shared" si="194"/>
        <v>1290</v>
      </c>
      <c r="N63" s="88">
        <v>0</v>
      </c>
      <c r="O63" s="88">
        <v>0</v>
      </c>
      <c r="P63" s="88">
        <v>0</v>
      </c>
      <c r="Q63" s="88">
        <f t="shared" ref="Q63:Q64" si="228">N63+O63+P63</f>
        <v>0</v>
      </c>
      <c r="R63" s="88">
        <f t="shared" si="99"/>
        <v>1290</v>
      </c>
      <c r="S63" s="88">
        <v>137</v>
      </c>
      <c r="V63" s="17">
        <f t="shared" ref="V63" si="229">ROUND(H63*1.0583,2)</f>
        <v>1227.6300000000001</v>
      </c>
      <c r="W63" s="17">
        <f t="shared" ref="W63" si="230">ROUND(I63*1.0327,2)</f>
        <v>223.11</v>
      </c>
      <c r="X63" s="110">
        <f t="shared" si="2"/>
        <v>62.369999999999891</v>
      </c>
      <c r="Y63" s="111">
        <f t="shared" si="3"/>
        <v>-86.110000000000014</v>
      </c>
      <c r="Z63" s="118">
        <v>1227.6300000000001</v>
      </c>
      <c r="AA63" s="118"/>
      <c r="AB63" s="118">
        <f t="shared" si="4"/>
        <v>1227.6300000000001</v>
      </c>
      <c r="AC63" s="111">
        <f t="shared" si="5"/>
        <v>0</v>
      </c>
      <c r="AD63" s="110">
        <f t="shared" ref="AD63" si="231">IF(X63&gt;0,V63,R63)</f>
        <v>1227.6300000000001</v>
      </c>
      <c r="AE63" s="110">
        <f t="shared" ref="AE63" si="232">IF(Y63&gt;0,W63,S63)</f>
        <v>137</v>
      </c>
      <c r="AF63" s="110">
        <f t="shared" si="6"/>
        <v>123.6</v>
      </c>
      <c r="AG63" s="110">
        <f t="shared" si="7"/>
        <v>307</v>
      </c>
      <c r="AH63" s="110">
        <f t="shared" si="33"/>
        <v>34</v>
      </c>
      <c r="AI63" s="129">
        <f t="shared" si="8"/>
        <v>102</v>
      </c>
      <c r="AJ63" s="110">
        <f t="shared" si="9"/>
        <v>11</v>
      </c>
      <c r="AM63" s="110">
        <f t="shared" si="10"/>
        <v>306.91000000000003</v>
      </c>
      <c r="AN63" s="110">
        <f t="shared" si="11"/>
        <v>33.36</v>
      </c>
      <c r="AQ63" s="110">
        <f t="shared" si="12"/>
        <v>613.91000000000008</v>
      </c>
      <c r="AR63" s="110">
        <f t="shared" si="13"/>
        <v>67.36</v>
      </c>
      <c r="AU63" s="110">
        <f t="shared" si="0"/>
        <v>306.91000000000003</v>
      </c>
      <c r="AV63" s="110">
        <f t="shared" si="136"/>
        <v>34.25</v>
      </c>
      <c r="AY63" s="110">
        <f t="shared" si="15"/>
        <v>1022.8200000000002</v>
      </c>
      <c r="AZ63" s="110">
        <f t="shared" si="16"/>
        <v>112.61</v>
      </c>
      <c r="BA63" s="110">
        <f t="shared" si="17"/>
        <v>1135.43</v>
      </c>
      <c r="BB63" s="142">
        <v>998.82</v>
      </c>
      <c r="BC63" s="142">
        <v>91.18</v>
      </c>
      <c r="BD63" s="142">
        <f t="shared" si="18"/>
        <v>24.000000000000114</v>
      </c>
      <c r="BE63" s="142">
        <f t="shared" si="19"/>
        <v>21.429999999999993</v>
      </c>
      <c r="BF63" s="142">
        <f t="shared" si="20"/>
        <v>199.76</v>
      </c>
      <c r="BG63" s="142">
        <f t="shared" si="21"/>
        <v>18.239999999999998</v>
      </c>
      <c r="BH63" s="110">
        <v>87.88</v>
      </c>
      <c r="BI63" s="110">
        <v>0</v>
      </c>
      <c r="BK63" s="110">
        <v>25.21</v>
      </c>
      <c r="BL63" s="110">
        <f t="shared" si="1"/>
        <v>1110.7000000000003</v>
      </c>
      <c r="BM63" s="110">
        <f t="shared" si="22"/>
        <v>137.82</v>
      </c>
      <c r="BN63" s="110">
        <f t="shared" si="23"/>
        <v>1248.5200000000002</v>
      </c>
      <c r="BO63" s="110">
        <v>1073.8900000000001</v>
      </c>
      <c r="BP63" s="129">
        <v>113.26</v>
      </c>
      <c r="BQ63" s="110">
        <f t="shared" si="24"/>
        <v>36.810000000000173</v>
      </c>
      <c r="BR63" s="110">
        <f t="shared" si="25"/>
        <v>24.559999999999988</v>
      </c>
      <c r="BS63" s="110">
        <f t="shared" si="26"/>
        <v>97.63</v>
      </c>
      <c r="BT63" s="110">
        <f t="shared" si="27"/>
        <v>10.3</v>
      </c>
      <c r="BU63" s="110">
        <v>60.82</v>
      </c>
      <c r="BV63" s="110">
        <v>0</v>
      </c>
      <c r="CA63" s="110">
        <f t="shared" si="29"/>
        <v>1171.5200000000002</v>
      </c>
      <c r="CB63" s="110">
        <f t="shared" si="30"/>
        <v>137.82</v>
      </c>
    </row>
    <row r="64" spans="1:80" ht="18" x14ac:dyDescent="0.3">
      <c r="A64" s="13">
        <v>46</v>
      </c>
      <c r="B64" s="13"/>
      <c r="C64" s="14"/>
      <c r="D64" s="15" t="s">
        <v>92</v>
      </c>
      <c r="E64" s="16"/>
      <c r="F64" s="82">
        <v>803.35000000000014</v>
      </c>
      <c r="G64" s="82">
        <v>0</v>
      </c>
      <c r="H64" s="82">
        <v>1104.18</v>
      </c>
      <c r="I64" s="17">
        <v>0</v>
      </c>
      <c r="J64" s="87">
        <v>880.3</v>
      </c>
      <c r="K64" s="88">
        <v>0</v>
      </c>
      <c r="L64" s="88">
        <v>0</v>
      </c>
      <c r="M64" s="88">
        <f t="shared" si="194"/>
        <v>880.3</v>
      </c>
      <c r="N64" s="88">
        <v>295.42</v>
      </c>
      <c r="O64" s="88">
        <v>0</v>
      </c>
      <c r="P64" s="88">
        <v>0</v>
      </c>
      <c r="Q64" s="88">
        <f t="shared" si="228"/>
        <v>295.42</v>
      </c>
      <c r="R64" s="88">
        <f t="shared" si="99"/>
        <v>1175.72</v>
      </c>
      <c r="S64" s="88">
        <v>0</v>
      </c>
      <c r="V64" s="17">
        <f t="shared" ref="V64" si="233">ROUND(H64*1.0583,2)</f>
        <v>1168.55</v>
      </c>
      <c r="W64" s="17">
        <f t="shared" ref="W64" si="234">ROUND(I64*1.0327,2)</f>
        <v>0</v>
      </c>
      <c r="X64" s="110">
        <f t="shared" si="2"/>
        <v>7.1700000000000728</v>
      </c>
      <c r="Y64" s="110">
        <f t="shared" si="3"/>
        <v>0</v>
      </c>
      <c r="Z64" s="118">
        <v>880.3</v>
      </c>
      <c r="AA64" s="118">
        <v>288.25</v>
      </c>
      <c r="AB64" s="118">
        <f t="shared" si="4"/>
        <v>1168.55</v>
      </c>
      <c r="AC64" s="111">
        <f t="shared" si="5"/>
        <v>0</v>
      </c>
      <c r="AD64" s="110">
        <f t="shared" ref="AD64" si="235">IF(X64&gt;0,V64,R64)</f>
        <v>1168.55</v>
      </c>
      <c r="AE64" s="110">
        <f t="shared" ref="AE64" si="236">IF(Y64&gt;0,W64,S64)</f>
        <v>0</v>
      </c>
      <c r="AF64" s="110">
        <f t="shared" si="6"/>
        <v>0</v>
      </c>
      <c r="AG64" s="110">
        <f t="shared" si="7"/>
        <v>292</v>
      </c>
      <c r="AH64" s="110">
        <f t="shared" si="33"/>
        <v>0</v>
      </c>
      <c r="AI64" s="129">
        <f t="shared" si="8"/>
        <v>97</v>
      </c>
      <c r="AJ64" s="110">
        <f t="shared" si="9"/>
        <v>0</v>
      </c>
      <c r="AM64" s="110">
        <f t="shared" si="10"/>
        <v>292.14</v>
      </c>
      <c r="AN64" s="110">
        <f t="shared" si="11"/>
        <v>0</v>
      </c>
      <c r="AQ64" s="110">
        <f t="shared" si="12"/>
        <v>584.14</v>
      </c>
      <c r="AR64" s="110">
        <f t="shared" si="13"/>
        <v>0</v>
      </c>
      <c r="AU64" s="110">
        <f t="shared" si="0"/>
        <v>292.14</v>
      </c>
      <c r="AV64" s="110">
        <f t="shared" si="136"/>
        <v>0</v>
      </c>
      <c r="AY64" s="110">
        <f t="shared" si="15"/>
        <v>973.28</v>
      </c>
      <c r="AZ64" s="110">
        <f t="shared" si="16"/>
        <v>0</v>
      </c>
      <c r="BA64" s="110">
        <f t="shared" si="17"/>
        <v>973.28</v>
      </c>
      <c r="BB64" s="142">
        <v>782.56</v>
      </c>
      <c r="BD64" s="142">
        <f t="shared" si="18"/>
        <v>190.72000000000003</v>
      </c>
      <c r="BE64" s="142">
        <f t="shared" si="19"/>
        <v>0</v>
      </c>
      <c r="BF64" s="142">
        <f t="shared" si="20"/>
        <v>156.51</v>
      </c>
      <c r="BG64" s="142">
        <f t="shared" si="21"/>
        <v>0</v>
      </c>
      <c r="BH64" s="110">
        <v>0</v>
      </c>
      <c r="BI64" s="110">
        <v>0</v>
      </c>
      <c r="BL64" s="110">
        <f t="shared" si="1"/>
        <v>973.28</v>
      </c>
      <c r="BM64" s="110">
        <f t="shared" si="22"/>
        <v>0</v>
      </c>
      <c r="BN64" s="110">
        <f t="shared" si="23"/>
        <v>973.28</v>
      </c>
      <c r="BO64" s="110">
        <v>957.95</v>
      </c>
      <c r="BP64" s="129"/>
      <c r="BQ64" s="110">
        <f t="shared" si="24"/>
        <v>15.329999999999927</v>
      </c>
      <c r="BR64" s="110">
        <f t="shared" si="25"/>
        <v>0</v>
      </c>
      <c r="BS64" s="110">
        <f t="shared" si="26"/>
        <v>87.09</v>
      </c>
      <c r="BT64" s="110">
        <f t="shared" si="27"/>
        <v>0</v>
      </c>
      <c r="BU64" s="110">
        <v>71.760000000000005</v>
      </c>
      <c r="BV64" s="110">
        <f t="shared" si="94"/>
        <v>0</v>
      </c>
      <c r="CA64" s="110">
        <f t="shared" si="29"/>
        <v>1045.04</v>
      </c>
      <c r="CB64" s="110">
        <f t="shared" si="30"/>
        <v>0</v>
      </c>
    </row>
    <row r="65" spans="1:80" ht="18" x14ac:dyDescent="0.3">
      <c r="A65" s="18"/>
      <c r="B65" s="18" t="s">
        <v>93</v>
      </c>
      <c r="C65" s="19" t="s">
        <v>94</v>
      </c>
      <c r="D65" s="20" t="s">
        <v>91</v>
      </c>
      <c r="E65" s="21" t="s">
        <v>95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9">
        <f t="shared" ref="J65:AA65" si="237">+J63+J64</f>
        <v>2170.3000000000002</v>
      </c>
      <c r="K65" s="89">
        <f t="shared" si="237"/>
        <v>0</v>
      </c>
      <c r="L65" s="89">
        <f t="shared" si="237"/>
        <v>0</v>
      </c>
      <c r="M65" s="89">
        <f t="shared" si="237"/>
        <v>2170.3000000000002</v>
      </c>
      <c r="N65" s="89">
        <f t="shared" si="237"/>
        <v>295.42</v>
      </c>
      <c r="O65" s="89">
        <f t="shared" si="237"/>
        <v>0</v>
      </c>
      <c r="P65" s="89">
        <f t="shared" si="237"/>
        <v>0</v>
      </c>
      <c r="Q65" s="89">
        <f t="shared" si="237"/>
        <v>295.42</v>
      </c>
      <c r="R65" s="89">
        <f t="shared" si="237"/>
        <v>2465.7200000000003</v>
      </c>
      <c r="S65" s="89">
        <f t="shared" si="237"/>
        <v>137</v>
      </c>
      <c r="T65" s="89">
        <f t="shared" si="237"/>
        <v>0</v>
      </c>
      <c r="U65" s="89">
        <f t="shared" si="237"/>
        <v>0</v>
      </c>
      <c r="V65" s="89">
        <f t="shared" si="237"/>
        <v>2396.1800000000003</v>
      </c>
      <c r="W65" s="89">
        <f t="shared" si="237"/>
        <v>223.11</v>
      </c>
      <c r="X65" s="89">
        <f t="shared" si="237"/>
        <v>69.539999999999964</v>
      </c>
      <c r="Y65" s="89">
        <f t="shared" si="237"/>
        <v>-86.110000000000014</v>
      </c>
      <c r="Z65" s="89">
        <f t="shared" si="237"/>
        <v>2107.9300000000003</v>
      </c>
      <c r="AA65" s="89">
        <f t="shared" si="237"/>
        <v>288.25</v>
      </c>
      <c r="AB65" s="22">
        <f t="shared" si="4"/>
        <v>2396.1800000000003</v>
      </c>
      <c r="AC65" s="111">
        <f t="shared" si="5"/>
        <v>0</v>
      </c>
      <c r="AD65" s="22">
        <f t="shared" ref="AD65:CB65" si="238">+AD63+AD64</f>
        <v>2396.1800000000003</v>
      </c>
      <c r="AE65" s="22">
        <f t="shared" si="238"/>
        <v>137</v>
      </c>
      <c r="AF65" s="22">
        <f t="shared" si="238"/>
        <v>123.6</v>
      </c>
      <c r="AG65" s="22">
        <f t="shared" si="238"/>
        <v>599</v>
      </c>
      <c r="AH65" s="22">
        <f t="shared" si="238"/>
        <v>34</v>
      </c>
      <c r="AI65" s="120">
        <f t="shared" si="238"/>
        <v>199</v>
      </c>
      <c r="AJ65" s="22">
        <f t="shared" si="238"/>
        <v>11</v>
      </c>
      <c r="AK65" s="22">
        <f t="shared" si="238"/>
        <v>0</v>
      </c>
      <c r="AL65" s="22">
        <f t="shared" si="238"/>
        <v>0</v>
      </c>
      <c r="AM65" s="22">
        <f t="shared" si="238"/>
        <v>599.04999999999995</v>
      </c>
      <c r="AN65" s="22">
        <f t="shared" si="238"/>
        <v>33.36</v>
      </c>
      <c r="AO65" s="22">
        <f t="shared" si="238"/>
        <v>0</v>
      </c>
      <c r="AP65" s="22">
        <f t="shared" si="238"/>
        <v>0</v>
      </c>
      <c r="AQ65" s="22">
        <f t="shared" si="238"/>
        <v>1198.0500000000002</v>
      </c>
      <c r="AR65" s="22">
        <f t="shared" si="238"/>
        <v>67.36</v>
      </c>
      <c r="AS65" s="22">
        <f t="shared" si="238"/>
        <v>0</v>
      </c>
      <c r="AT65" s="22">
        <f t="shared" si="238"/>
        <v>0</v>
      </c>
      <c r="AU65" s="22">
        <f t="shared" si="238"/>
        <v>599.04999999999995</v>
      </c>
      <c r="AV65" s="22">
        <f t="shared" si="238"/>
        <v>34.25</v>
      </c>
      <c r="AW65" s="22">
        <f t="shared" si="238"/>
        <v>0</v>
      </c>
      <c r="AX65" s="22">
        <f t="shared" si="238"/>
        <v>0</v>
      </c>
      <c r="AY65" s="22">
        <f t="shared" si="238"/>
        <v>1996.1000000000001</v>
      </c>
      <c r="AZ65" s="22">
        <f t="shared" si="238"/>
        <v>112.61</v>
      </c>
      <c r="BA65" s="22">
        <f t="shared" si="238"/>
        <v>2108.71</v>
      </c>
      <c r="BB65" s="22">
        <f t="shared" si="238"/>
        <v>1781.38</v>
      </c>
      <c r="BC65" s="22">
        <f t="shared" si="238"/>
        <v>91.18</v>
      </c>
      <c r="BD65" s="22">
        <f t="shared" si="238"/>
        <v>214.72000000000014</v>
      </c>
      <c r="BE65" s="22">
        <f t="shared" si="238"/>
        <v>21.429999999999993</v>
      </c>
      <c r="BF65" s="22">
        <f t="shared" si="238"/>
        <v>356.27</v>
      </c>
      <c r="BG65" s="120">
        <f t="shared" si="238"/>
        <v>18.239999999999998</v>
      </c>
      <c r="BH65" s="120">
        <f t="shared" si="238"/>
        <v>87.88</v>
      </c>
      <c r="BI65" s="120">
        <f t="shared" si="238"/>
        <v>0</v>
      </c>
      <c r="BJ65" s="120">
        <f t="shared" si="238"/>
        <v>0</v>
      </c>
      <c r="BK65" s="120">
        <f t="shared" si="238"/>
        <v>25.21</v>
      </c>
      <c r="BL65" s="120">
        <f t="shared" si="238"/>
        <v>2083.9800000000005</v>
      </c>
      <c r="BM65" s="120">
        <f t="shared" si="238"/>
        <v>137.82</v>
      </c>
      <c r="BN65" s="120">
        <f t="shared" si="238"/>
        <v>2221.8000000000002</v>
      </c>
      <c r="BO65" s="120">
        <f t="shared" si="238"/>
        <v>2031.8400000000001</v>
      </c>
      <c r="BP65" s="120">
        <f t="shared" si="238"/>
        <v>113.26</v>
      </c>
      <c r="BQ65" s="22">
        <f t="shared" si="238"/>
        <v>52.1400000000001</v>
      </c>
      <c r="BR65" s="22">
        <f t="shared" si="238"/>
        <v>24.559999999999988</v>
      </c>
      <c r="BS65" s="22">
        <f t="shared" si="238"/>
        <v>184.72</v>
      </c>
      <c r="BT65" s="22">
        <f t="shared" si="238"/>
        <v>10.3</v>
      </c>
      <c r="BU65" s="22">
        <f t="shared" si="238"/>
        <v>132.58000000000001</v>
      </c>
      <c r="BV65" s="22">
        <f t="shared" si="238"/>
        <v>0</v>
      </c>
      <c r="BW65" s="22">
        <f t="shared" si="238"/>
        <v>0</v>
      </c>
      <c r="BX65" s="22">
        <f t="shared" si="238"/>
        <v>0</v>
      </c>
      <c r="BY65" s="22">
        <f t="shared" si="238"/>
        <v>0</v>
      </c>
      <c r="BZ65" s="22">
        <f t="shared" si="238"/>
        <v>0</v>
      </c>
      <c r="CA65" s="22">
        <f t="shared" si="238"/>
        <v>2216.5600000000004</v>
      </c>
      <c r="CB65" s="22">
        <f t="shared" si="238"/>
        <v>137.82</v>
      </c>
    </row>
    <row r="66" spans="1:80" ht="18" x14ac:dyDescent="0.3">
      <c r="A66" s="13">
        <v>47</v>
      </c>
      <c r="B66" s="13"/>
      <c r="C66" s="14"/>
      <c r="D66" s="15" t="s">
        <v>96</v>
      </c>
      <c r="E66" s="16"/>
      <c r="F66" s="82">
        <v>1115.5099999999998</v>
      </c>
      <c r="G66" s="82">
        <v>193.5</v>
      </c>
      <c r="H66" s="82">
        <v>1115.5099999999998</v>
      </c>
      <c r="I66" s="17">
        <v>193.5</v>
      </c>
      <c r="J66" s="87">
        <v>1428</v>
      </c>
      <c r="K66" s="88">
        <v>0</v>
      </c>
      <c r="L66" s="88">
        <v>0.25</v>
      </c>
      <c r="M66" s="88">
        <f t="shared" si="194"/>
        <v>1428.25</v>
      </c>
      <c r="N66" s="88">
        <v>0</v>
      </c>
      <c r="O66" s="88">
        <v>0</v>
      </c>
      <c r="P66" s="88">
        <v>0</v>
      </c>
      <c r="Q66" s="88">
        <f t="shared" ref="Q66:Q70" si="239">N66+O66+P66</f>
        <v>0</v>
      </c>
      <c r="R66" s="88">
        <f t="shared" si="99"/>
        <v>1428.25</v>
      </c>
      <c r="S66" s="88">
        <v>200.5</v>
      </c>
      <c r="V66" s="17">
        <f t="shared" ref="V66:V67" si="240">ROUND(H66*1.0583,2)</f>
        <v>1180.54</v>
      </c>
      <c r="W66" s="17">
        <f t="shared" ref="W66:W67" si="241">ROUND(I66*1.0327,2)</f>
        <v>199.83</v>
      </c>
      <c r="X66" s="110">
        <f t="shared" si="2"/>
        <v>247.71000000000004</v>
      </c>
      <c r="Y66" s="110">
        <f t="shared" si="3"/>
        <v>0.66999999999998749</v>
      </c>
      <c r="Z66" s="110">
        <v>1180.54</v>
      </c>
      <c r="AA66" s="110"/>
      <c r="AB66" s="110">
        <f t="shared" si="4"/>
        <v>1180.54</v>
      </c>
      <c r="AC66" s="111">
        <f t="shared" si="5"/>
        <v>0</v>
      </c>
      <c r="AD66" s="110">
        <f t="shared" ref="AD66:AD67" si="242">IF(X66&gt;0,V66,R66)</f>
        <v>1180.54</v>
      </c>
      <c r="AE66" s="110">
        <f t="shared" ref="AE66:AE67" si="243">IF(Y66&gt;0,W66,S66)</f>
        <v>199.83</v>
      </c>
      <c r="AF66" s="110">
        <f t="shared" si="6"/>
        <v>180.89</v>
      </c>
      <c r="AG66" s="110">
        <f t="shared" si="7"/>
        <v>295</v>
      </c>
      <c r="AH66" s="110">
        <f t="shared" si="33"/>
        <v>50</v>
      </c>
      <c r="AI66" s="129">
        <f t="shared" si="8"/>
        <v>98</v>
      </c>
      <c r="AJ66" s="110">
        <f t="shared" si="9"/>
        <v>17</v>
      </c>
      <c r="AM66" s="110">
        <f t="shared" si="10"/>
        <v>295.14</v>
      </c>
      <c r="AN66" s="110">
        <f t="shared" si="11"/>
        <v>48.66</v>
      </c>
      <c r="AQ66" s="110">
        <f t="shared" si="12"/>
        <v>590.14</v>
      </c>
      <c r="AR66" s="110">
        <f t="shared" si="13"/>
        <v>98.66</v>
      </c>
      <c r="AU66" s="110">
        <f t="shared" ref="AU66:AU87" si="244">ROUND(AD66*25%,2)</f>
        <v>295.14</v>
      </c>
      <c r="AV66" s="110">
        <f t="shared" si="136"/>
        <v>49.96</v>
      </c>
      <c r="AY66" s="110">
        <f t="shared" ref="AY66:AY127" si="245">+AQ66+AS66+AU66+AW66+AI66</f>
        <v>983.28</v>
      </c>
      <c r="AZ66" s="110">
        <f t="shared" ref="AZ66:AZ127" si="246">+AR66+AT66+AV66+AX66+AJ66</f>
        <v>165.62</v>
      </c>
      <c r="BA66" s="110">
        <f t="shared" ref="BA66:BA127" si="247">+AY66+AZ66</f>
        <v>1148.9000000000001</v>
      </c>
      <c r="BB66" s="142">
        <v>972.64</v>
      </c>
      <c r="BC66" s="142">
        <v>152.38999999999999</v>
      </c>
      <c r="BD66" s="142">
        <f t="shared" ref="BD66:BD127" si="248">AY66-BB66</f>
        <v>10.639999999999986</v>
      </c>
      <c r="BE66" s="142">
        <f t="shared" ref="BE66:BE127" si="249">AZ66-BC66</f>
        <v>13.230000000000018</v>
      </c>
      <c r="BF66" s="142">
        <f t="shared" ref="BF66:BF127" si="250">ROUND(BB66/10*2,2)</f>
        <v>194.53</v>
      </c>
      <c r="BG66" s="142">
        <f t="shared" ref="BG66:BG127" si="251">ROUND(BC66/10*2,2)</f>
        <v>30.48</v>
      </c>
      <c r="BH66" s="110">
        <v>91.95</v>
      </c>
      <c r="BI66" s="110">
        <v>8.6300000000000008</v>
      </c>
      <c r="BK66" s="110">
        <v>40.07</v>
      </c>
      <c r="BL66" s="110">
        <f t="shared" si="1"/>
        <v>1075.23</v>
      </c>
      <c r="BM66" s="110">
        <f t="shared" si="22"/>
        <v>214.32</v>
      </c>
      <c r="BN66" s="110">
        <f t="shared" si="23"/>
        <v>1289.55</v>
      </c>
      <c r="BO66" s="110">
        <v>1067.44</v>
      </c>
      <c r="BP66" s="129">
        <v>174.25</v>
      </c>
      <c r="BQ66" s="110">
        <f t="shared" si="24"/>
        <v>7.7899999999999636</v>
      </c>
      <c r="BR66" s="110">
        <f t="shared" si="25"/>
        <v>40.069999999999993</v>
      </c>
      <c r="BS66" s="110">
        <f t="shared" si="26"/>
        <v>97.04</v>
      </c>
      <c r="BT66" s="110">
        <f t="shared" si="27"/>
        <v>15.84</v>
      </c>
      <c r="BU66" s="110">
        <f t="shared" si="34"/>
        <v>89.250000000000043</v>
      </c>
      <c r="BV66" s="110">
        <v>0</v>
      </c>
      <c r="BW66" s="111">
        <v>43.4</v>
      </c>
      <c r="CA66" s="110">
        <f t="shared" si="29"/>
        <v>1207.8800000000001</v>
      </c>
      <c r="CB66" s="110">
        <f t="shared" si="30"/>
        <v>214.32</v>
      </c>
    </row>
    <row r="67" spans="1:80" ht="36" x14ac:dyDescent="0.3">
      <c r="A67" s="13">
        <v>48</v>
      </c>
      <c r="B67" s="13"/>
      <c r="C67" s="14"/>
      <c r="D67" s="15" t="s">
        <v>97</v>
      </c>
      <c r="E67" s="16"/>
      <c r="F67" s="82">
        <v>205.81000000000003</v>
      </c>
      <c r="G67" s="82">
        <v>0</v>
      </c>
      <c r="H67" s="82">
        <v>205.81000000000003</v>
      </c>
      <c r="I67" s="17">
        <v>0</v>
      </c>
      <c r="J67" s="87">
        <v>265.91000000000003</v>
      </c>
      <c r="K67" s="88">
        <v>0</v>
      </c>
      <c r="L67" s="88">
        <v>0</v>
      </c>
      <c r="M67" s="88">
        <f t="shared" si="194"/>
        <v>265.91000000000003</v>
      </c>
      <c r="N67" s="88">
        <v>29.98</v>
      </c>
      <c r="O67" s="88">
        <v>0</v>
      </c>
      <c r="P67" s="88">
        <v>0</v>
      </c>
      <c r="Q67" s="88">
        <f t="shared" si="239"/>
        <v>29.98</v>
      </c>
      <c r="R67" s="88">
        <f t="shared" si="99"/>
        <v>295.89000000000004</v>
      </c>
      <c r="S67" s="88">
        <v>0</v>
      </c>
      <c r="V67" s="17">
        <f t="shared" si="240"/>
        <v>217.81</v>
      </c>
      <c r="W67" s="17">
        <f t="shared" si="241"/>
        <v>0</v>
      </c>
      <c r="X67" s="110">
        <f t="shared" ref="X67:X128" si="252">R67-V67</f>
        <v>78.080000000000041</v>
      </c>
      <c r="Y67" s="110">
        <f t="shared" ref="Y67:Y128" si="253">S67-W67</f>
        <v>0</v>
      </c>
      <c r="Z67" s="110">
        <v>200</v>
      </c>
      <c r="AA67" s="110">
        <v>17.809999999999999</v>
      </c>
      <c r="AB67" s="110">
        <f t="shared" ref="AB67:AB128" si="254">Z67+AA67</f>
        <v>217.81</v>
      </c>
      <c r="AC67" s="111">
        <f t="shared" ref="AC67:AC128" si="255">AD67-AB67</f>
        <v>0</v>
      </c>
      <c r="AD67" s="110">
        <f t="shared" si="242"/>
        <v>217.81</v>
      </c>
      <c r="AE67" s="110">
        <f t="shared" si="243"/>
        <v>0</v>
      </c>
      <c r="AF67" s="110">
        <f t="shared" ref="AF67:AF128" si="256">ROUND(S67*0.9022,2)</f>
        <v>0</v>
      </c>
      <c r="AG67" s="110">
        <f t="shared" ref="AG67:AG128" si="257">ROUND(AD67/4,0)</f>
        <v>54</v>
      </c>
      <c r="AH67" s="110">
        <f t="shared" ref="AH67:AH128" si="258">ROUND(AE67/4,0)</f>
        <v>0</v>
      </c>
      <c r="AI67" s="129">
        <f t="shared" ref="AI67:AI128" si="259">ROUND(AD67/12,0)</f>
        <v>18</v>
      </c>
      <c r="AJ67" s="110">
        <f t="shared" ref="AJ67:AJ128" si="260">ROUND(AE67/12,0)</f>
        <v>0</v>
      </c>
      <c r="AM67" s="110">
        <f t="shared" ref="AM67:AM128" si="261">ROUND(AD67*25%,2)</f>
        <v>54.45</v>
      </c>
      <c r="AN67" s="110">
        <f t="shared" ref="AN67:AN128" si="262">ROUND(AE67*24.35%,2)</f>
        <v>0</v>
      </c>
      <c r="AQ67" s="110">
        <f t="shared" ref="AQ67:AQ128" si="263">+AM67+AK67+AG67+AO67</f>
        <v>108.45</v>
      </c>
      <c r="AR67" s="110">
        <f t="shared" ref="AR67:AR128" si="264">+AN67+AL67+AH67+AP67</f>
        <v>0</v>
      </c>
      <c r="AU67" s="110">
        <f t="shared" si="244"/>
        <v>54.45</v>
      </c>
      <c r="AV67" s="110">
        <f t="shared" si="136"/>
        <v>0</v>
      </c>
      <c r="AY67" s="110">
        <f t="shared" si="245"/>
        <v>180.9</v>
      </c>
      <c r="AZ67" s="110">
        <f t="shared" si="246"/>
        <v>0</v>
      </c>
      <c r="BA67" s="110">
        <f t="shared" si="247"/>
        <v>180.9</v>
      </c>
      <c r="BB67" s="142">
        <v>180.9</v>
      </c>
      <c r="BD67" s="142">
        <f t="shared" si="248"/>
        <v>0</v>
      </c>
      <c r="BE67" s="142">
        <f t="shared" si="249"/>
        <v>0</v>
      </c>
      <c r="BF67" s="142">
        <f t="shared" si="250"/>
        <v>36.18</v>
      </c>
      <c r="BG67" s="142">
        <f t="shared" si="251"/>
        <v>0</v>
      </c>
      <c r="BH67" s="110">
        <v>18.09</v>
      </c>
      <c r="BI67" s="110">
        <v>0</v>
      </c>
      <c r="BL67" s="110">
        <f t="shared" si="1"/>
        <v>198.99</v>
      </c>
      <c r="BM67" s="110">
        <f t="shared" si="22"/>
        <v>0</v>
      </c>
      <c r="BN67" s="110">
        <f t="shared" si="23"/>
        <v>198.99</v>
      </c>
      <c r="BO67" s="110">
        <v>180.9</v>
      </c>
      <c r="BP67" s="129"/>
      <c r="BQ67" s="110">
        <f t="shared" si="24"/>
        <v>18.090000000000003</v>
      </c>
      <c r="BR67" s="110">
        <f t="shared" si="25"/>
        <v>0</v>
      </c>
      <c r="BS67" s="110">
        <f t="shared" si="26"/>
        <v>16.45</v>
      </c>
      <c r="BT67" s="110">
        <f t="shared" si="27"/>
        <v>0</v>
      </c>
      <c r="BU67" s="110">
        <f t="shared" si="34"/>
        <v>-1.6400000000000041</v>
      </c>
      <c r="BV67" s="110">
        <f t="shared" si="94"/>
        <v>0</v>
      </c>
      <c r="BW67" s="111">
        <v>19.73</v>
      </c>
      <c r="CA67" s="110">
        <f t="shared" si="29"/>
        <v>217.07999999999998</v>
      </c>
      <c r="CB67" s="110">
        <f t="shared" si="30"/>
        <v>0</v>
      </c>
    </row>
    <row r="68" spans="1:80" ht="18" x14ac:dyDescent="0.3">
      <c r="A68" s="18"/>
      <c r="B68" s="18" t="s">
        <v>98</v>
      </c>
      <c r="C68" s="19" t="s">
        <v>99</v>
      </c>
      <c r="D68" s="20" t="s">
        <v>96</v>
      </c>
      <c r="E68" s="21" t="s">
        <v>100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9">
        <f t="shared" ref="J68:AA68" si="265">+J66+J67</f>
        <v>1693.91</v>
      </c>
      <c r="K68" s="89">
        <f t="shared" si="265"/>
        <v>0</v>
      </c>
      <c r="L68" s="89">
        <f t="shared" si="265"/>
        <v>0.25</v>
      </c>
      <c r="M68" s="89">
        <f t="shared" si="265"/>
        <v>1694.16</v>
      </c>
      <c r="N68" s="89">
        <f t="shared" si="265"/>
        <v>29.98</v>
      </c>
      <c r="O68" s="89">
        <f t="shared" si="265"/>
        <v>0</v>
      </c>
      <c r="P68" s="89">
        <f t="shared" si="265"/>
        <v>0</v>
      </c>
      <c r="Q68" s="89">
        <f t="shared" si="265"/>
        <v>29.98</v>
      </c>
      <c r="R68" s="89">
        <f t="shared" si="265"/>
        <v>1724.14</v>
      </c>
      <c r="S68" s="89">
        <f t="shared" si="265"/>
        <v>200.5</v>
      </c>
      <c r="T68" s="89">
        <f t="shared" si="265"/>
        <v>0</v>
      </c>
      <c r="U68" s="89">
        <f t="shared" si="265"/>
        <v>0</v>
      </c>
      <c r="V68" s="89">
        <f t="shared" si="265"/>
        <v>1398.35</v>
      </c>
      <c r="W68" s="89">
        <f t="shared" si="265"/>
        <v>199.83</v>
      </c>
      <c r="X68" s="89">
        <f t="shared" si="265"/>
        <v>325.79000000000008</v>
      </c>
      <c r="Y68" s="89">
        <f t="shared" si="265"/>
        <v>0.66999999999998749</v>
      </c>
      <c r="Z68" s="89">
        <f t="shared" si="265"/>
        <v>1380.54</v>
      </c>
      <c r="AA68" s="89">
        <f t="shared" si="265"/>
        <v>17.809999999999999</v>
      </c>
      <c r="AB68" s="22">
        <f t="shared" si="254"/>
        <v>1398.35</v>
      </c>
      <c r="AC68" s="111">
        <f t="shared" si="255"/>
        <v>0</v>
      </c>
      <c r="AD68" s="22">
        <f t="shared" ref="AD68:CB68" si="266">+AD66+AD67</f>
        <v>1398.35</v>
      </c>
      <c r="AE68" s="22">
        <f t="shared" si="266"/>
        <v>199.83</v>
      </c>
      <c r="AF68" s="22">
        <f t="shared" si="266"/>
        <v>180.89</v>
      </c>
      <c r="AG68" s="22">
        <f t="shared" si="266"/>
        <v>349</v>
      </c>
      <c r="AH68" s="22">
        <f t="shared" si="266"/>
        <v>50</v>
      </c>
      <c r="AI68" s="120">
        <f t="shared" si="266"/>
        <v>116</v>
      </c>
      <c r="AJ68" s="22">
        <f t="shared" si="266"/>
        <v>17</v>
      </c>
      <c r="AK68" s="22">
        <f t="shared" si="266"/>
        <v>0</v>
      </c>
      <c r="AL68" s="22">
        <f t="shared" si="266"/>
        <v>0</v>
      </c>
      <c r="AM68" s="22">
        <f t="shared" si="266"/>
        <v>349.59</v>
      </c>
      <c r="AN68" s="22">
        <f t="shared" si="266"/>
        <v>48.66</v>
      </c>
      <c r="AO68" s="22">
        <f t="shared" si="266"/>
        <v>0</v>
      </c>
      <c r="AP68" s="22">
        <f t="shared" si="266"/>
        <v>0</v>
      </c>
      <c r="AQ68" s="22">
        <f t="shared" si="266"/>
        <v>698.59</v>
      </c>
      <c r="AR68" s="22">
        <f t="shared" si="266"/>
        <v>98.66</v>
      </c>
      <c r="AS68" s="22">
        <f t="shared" si="266"/>
        <v>0</v>
      </c>
      <c r="AT68" s="22">
        <f t="shared" si="266"/>
        <v>0</v>
      </c>
      <c r="AU68" s="22">
        <f t="shared" si="266"/>
        <v>349.59</v>
      </c>
      <c r="AV68" s="22">
        <f t="shared" si="266"/>
        <v>49.96</v>
      </c>
      <c r="AW68" s="22">
        <f t="shared" si="266"/>
        <v>0</v>
      </c>
      <c r="AX68" s="22">
        <f t="shared" si="266"/>
        <v>0</v>
      </c>
      <c r="AY68" s="22">
        <f t="shared" si="266"/>
        <v>1164.18</v>
      </c>
      <c r="AZ68" s="22">
        <f t="shared" si="266"/>
        <v>165.62</v>
      </c>
      <c r="BA68" s="22">
        <f t="shared" si="266"/>
        <v>1329.8000000000002</v>
      </c>
      <c r="BB68" s="22">
        <f t="shared" si="266"/>
        <v>1153.54</v>
      </c>
      <c r="BC68" s="22">
        <f t="shared" si="266"/>
        <v>152.38999999999999</v>
      </c>
      <c r="BD68" s="22">
        <f t="shared" si="266"/>
        <v>10.639999999999986</v>
      </c>
      <c r="BE68" s="22">
        <f t="shared" si="266"/>
        <v>13.230000000000018</v>
      </c>
      <c r="BF68" s="22">
        <f t="shared" si="266"/>
        <v>230.71</v>
      </c>
      <c r="BG68" s="120">
        <f t="shared" si="266"/>
        <v>30.48</v>
      </c>
      <c r="BH68" s="120">
        <f t="shared" si="266"/>
        <v>110.04</v>
      </c>
      <c r="BI68" s="120">
        <f t="shared" si="266"/>
        <v>8.6300000000000008</v>
      </c>
      <c r="BJ68" s="120">
        <f t="shared" si="266"/>
        <v>0</v>
      </c>
      <c r="BK68" s="120">
        <f t="shared" si="266"/>
        <v>40.07</v>
      </c>
      <c r="BL68" s="120">
        <f t="shared" si="266"/>
        <v>1274.22</v>
      </c>
      <c r="BM68" s="120">
        <f t="shared" si="266"/>
        <v>214.32</v>
      </c>
      <c r="BN68" s="120">
        <f t="shared" si="266"/>
        <v>1488.54</v>
      </c>
      <c r="BO68" s="120">
        <f t="shared" si="266"/>
        <v>1248.3400000000001</v>
      </c>
      <c r="BP68" s="120">
        <f t="shared" si="266"/>
        <v>174.25</v>
      </c>
      <c r="BQ68" s="22">
        <f t="shared" si="266"/>
        <v>25.879999999999967</v>
      </c>
      <c r="BR68" s="22">
        <f t="shared" si="266"/>
        <v>40.069999999999993</v>
      </c>
      <c r="BS68" s="22">
        <f t="shared" si="266"/>
        <v>113.49000000000001</v>
      </c>
      <c r="BT68" s="22">
        <f t="shared" si="266"/>
        <v>15.84</v>
      </c>
      <c r="BU68" s="22">
        <f t="shared" si="266"/>
        <v>87.610000000000042</v>
      </c>
      <c r="BV68" s="22">
        <f t="shared" si="266"/>
        <v>0</v>
      </c>
      <c r="BW68" s="22">
        <f t="shared" si="266"/>
        <v>63.129999999999995</v>
      </c>
      <c r="BX68" s="22">
        <f t="shared" si="266"/>
        <v>0</v>
      </c>
      <c r="BY68" s="22">
        <f t="shared" si="266"/>
        <v>0</v>
      </c>
      <c r="BZ68" s="22">
        <f t="shared" si="266"/>
        <v>0</v>
      </c>
      <c r="CA68" s="22">
        <f t="shared" si="266"/>
        <v>1424.96</v>
      </c>
      <c r="CB68" s="22">
        <f t="shared" si="266"/>
        <v>214.32</v>
      </c>
    </row>
    <row r="69" spans="1:80" ht="18" x14ac:dyDescent="0.3">
      <c r="A69" s="13">
        <v>51</v>
      </c>
      <c r="B69" s="13"/>
      <c r="C69" s="14"/>
      <c r="D69" s="15" t="s">
        <v>101</v>
      </c>
      <c r="E69" s="16"/>
      <c r="F69" s="82">
        <v>693.3</v>
      </c>
      <c r="G69" s="82">
        <v>39.65</v>
      </c>
      <c r="H69" s="82">
        <v>696.65</v>
      </c>
      <c r="I69" s="17">
        <v>34.26</v>
      </c>
      <c r="J69" s="87">
        <v>770</v>
      </c>
      <c r="K69" s="88">
        <v>0</v>
      </c>
      <c r="L69" s="88">
        <v>0</v>
      </c>
      <c r="M69" s="88">
        <f t="shared" si="194"/>
        <v>770</v>
      </c>
      <c r="N69" s="88">
        <v>0</v>
      </c>
      <c r="O69" s="88">
        <v>0</v>
      </c>
      <c r="P69" s="88">
        <v>0</v>
      </c>
      <c r="Q69" s="88">
        <f t="shared" si="239"/>
        <v>0</v>
      </c>
      <c r="R69" s="88">
        <f t="shared" si="99"/>
        <v>770</v>
      </c>
      <c r="S69" s="88">
        <v>20</v>
      </c>
      <c r="V69" s="17">
        <f t="shared" ref="V69:V70" si="267">ROUND(H69*1.0583,2)</f>
        <v>737.26</v>
      </c>
      <c r="W69" s="17">
        <f t="shared" ref="W69:W70" si="268">ROUND(I69*1.0327,2)</f>
        <v>35.380000000000003</v>
      </c>
      <c r="X69" s="110">
        <f t="shared" si="252"/>
        <v>32.740000000000009</v>
      </c>
      <c r="Y69" s="111">
        <f t="shared" si="253"/>
        <v>-15.380000000000003</v>
      </c>
      <c r="Z69" s="118">
        <v>737.26</v>
      </c>
      <c r="AA69" s="118"/>
      <c r="AB69" s="118">
        <f t="shared" si="254"/>
        <v>737.26</v>
      </c>
      <c r="AC69" s="111">
        <f t="shared" si="255"/>
        <v>0</v>
      </c>
      <c r="AD69" s="110">
        <f t="shared" ref="AD69:AD70" si="269">IF(X69&gt;0,V69,R69)</f>
        <v>737.26</v>
      </c>
      <c r="AE69" s="110">
        <f t="shared" ref="AE69:AE70" si="270">IF(Y69&gt;0,W69,S69)</f>
        <v>20</v>
      </c>
      <c r="AF69" s="110">
        <f t="shared" si="256"/>
        <v>18.04</v>
      </c>
      <c r="AG69" s="110">
        <f t="shared" si="257"/>
        <v>184</v>
      </c>
      <c r="AH69" s="110">
        <f t="shared" si="258"/>
        <v>5</v>
      </c>
      <c r="AI69" s="129">
        <f t="shared" si="259"/>
        <v>61</v>
      </c>
      <c r="AJ69" s="110">
        <f t="shared" si="260"/>
        <v>2</v>
      </c>
      <c r="AM69" s="110">
        <f t="shared" si="261"/>
        <v>184.32</v>
      </c>
      <c r="AN69" s="110">
        <f t="shared" si="262"/>
        <v>4.87</v>
      </c>
      <c r="AQ69" s="110">
        <f t="shared" si="263"/>
        <v>368.32</v>
      </c>
      <c r="AR69" s="110">
        <f t="shared" si="264"/>
        <v>9.870000000000001</v>
      </c>
      <c r="AU69" s="110">
        <f t="shared" si="244"/>
        <v>184.32</v>
      </c>
      <c r="AV69" s="110">
        <f>ROUND(AE69*25%,2)-0.87</f>
        <v>4.13</v>
      </c>
      <c r="AY69" s="110">
        <f t="shared" si="245"/>
        <v>613.64</v>
      </c>
      <c r="AZ69" s="110">
        <f t="shared" si="246"/>
        <v>16</v>
      </c>
      <c r="BA69" s="110">
        <f t="shared" si="247"/>
        <v>629.64</v>
      </c>
      <c r="BB69" s="142">
        <v>583.66</v>
      </c>
      <c r="BC69" s="142">
        <v>4.28</v>
      </c>
      <c r="BD69" s="142">
        <f t="shared" si="248"/>
        <v>29.980000000000018</v>
      </c>
      <c r="BE69" s="142">
        <f t="shared" si="249"/>
        <v>11.719999999999999</v>
      </c>
      <c r="BF69" s="142">
        <f t="shared" si="250"/>
        <v>116.73</v>
      </c>
      <c r="BG69" s="142">
        <f t="shared" si="251"/>
        <v>0.86</v>
      </c>
      <c r="BH69" s="110">
        <v>48.68</v>
      </c>
      <c r="BI69" s="110">
        <v>0</v>
      </c>
      <c r="BL69" s="110">
        <f t="shared" ref="BL69:BL132" si="271">+BH69+AY69+BJ69</f>
        <v>662.31999999999994</v>
      </c>
      <c r="BM69" s="110">
        <f t="shared" si="22"/>
        <v>16</v>
      </c>
      <c r="BN69" s="110">
        <f t="shared" si="23"/>
        <v>678.31999999999994</v>
      </c>
      <c r="BO69" s="110">
        <v>646.35</v>
      </c>
      <c r="BP69" s="129">
        <v>5.0999999999999996</v>
      </c>
      <c r="BQ69" s="110">
        <f t="shared" si="24"/>
        <v>15.969999999999914</v>
      </c>
      <c r="BR69" s="110">
        <f t="shared" si="25"/>
        <v>10.9</v>
      </c>
      <c r="BS69" s="110">
        <f t="shared" si="26"/>
        <v>58.76</v>
      </c>
      <c r="BT69" s="110">
        <f t="shared" si="27"/>
        <v>0.46</v>
      </c>
      <c r="BU69" s="110">
        <v>42.79</v>
      </c>
      <c r="BV69" s="110">
        <v>0</v>
      </c>
      <c r="BW69" s="111">
        <v>5.89</v>
      </c>
      <c r="CA69" s="110">
        <f t="shared" si="29"/>
        <v>710.99999999999989</v>
      </c>
      <c r="CB69" s="110">
        <f t="shared" si="30"/>
        <v>16</v>
      </c>
    </row>
    <row r="70" spans="1:80" ht="18" x14ac:dyDescent="0.3">
      <c r="A70" s="13">
        <v>52</v>
      </c>
      <c r="B70" s="13"/>
      <c r="C70" s="14"/>
      <c r="D70" s="15" t="s">
        <v>102</v>
      </c>
      <c r="E70" s="16"/>
      <c r="F70" s="82">
        <v>1480.2900000000002</v>
      </c>
      <c r="G70" s="82">
        <v>0</v>
      </c>
      <c r="H70" s="82">
        <v>1480.2900000000002</v>
      </c>
      <c r="I70" s="17">
        <v>0</v>
      </c>
      <c r="J70" s="87">
        <v>1992</v>
      </c>
      <c r="K70" s="88">
        <v>0</v>
      </c>
      <c r="L70" s="88">
        <v>0</v>
      </c>
      <c r="M70" s="88">
        <f t="shared" si="194"/>
        <v>1992</v>
      </c>
      <c r="N70" s="88">
        <v>0</v>
      </c>
      <c r="O70" s="88">
        <v>0</v>
      </c>
      <c r="P70" s="88">
        <v>0</v>
      </c>
      <c r="Q70" s="88">
        <f t="shared" si="239"/>
        <v>0</v>
      </c>
      <c r="R70" s="88">
        <f t="shared" si="99"/>
        <v>1992</v>
      </c>
      <c r="S70" s="88">
        <v>0</v>
      </c>
      <c r="V70" s="17">
        <f t="shared" si="267"/>
        <v>1566.59</v>
      </c>
      <c r="W70" s="17">
        <f t="shared" si="268"/>
        <v>0</v>
      </c>
      <c r="X70" s="110">
        <f t="shared" si="252"/>
        <v>425.41000000000008</v>
      </c>
      <c r="Y70" s="110">
        <f t="shared" si="253"/>
        <v>0</v>
      </c>
      <c r="Z70" s="110">
        <v>1566.59</v>
      </c>
      <c r="AA70" s="110"/>
      <c r="AB70" s="110">
        <f t="shared" si="254"/>
        <v>1566.59</v>
      </c>
      <c r="AC70" s="111">
        <f t="shared" si="255"/>
        <v>0</v>
      </c>
      <c r="AD70" s="110">
        <f t="shared" si="269"/>
        <v>1566.59</v>
      </c>
      <c r="AE70" s="110">
        <f t="shared" si="270"/>
        <v>0</v>
      </c>
      <c r="AF70" s="110">
        <f t="shared" si="256"/>
        <v>0</v>
      </c>
      <c r="AG70" s="110">
        <f t="shared" si="257"/>
        <v>392</v>
      </c>
      <c r="AH70" s="110">
        <f t="shared" si="258"/>
        <v>0</v>
      </c>
      <c r="AI70" s="129">
        <f t="shared" si="259"/>
        <v>131</v>
      </c>
      <c r="AJ70" s="110">
        <f t="shared" si="260"/>
        <v>0</v>
      </c>
      <c r="AM70" s="110">
        <f t="shared" si="261"/>
        <v>391.65</v>
      </c>
      <c r="AN70" s="110">
        <f t="shared" si="262"/>
        <v>0</v>
      </c>
      <c r="AQ70" s="110">
        <f t="shared" si="263"/>
        <v>783.65</v>
      </c>
      <c r="AR70" s="110">
        <f t="shared" si="264"/>
        <v>0</v>
      </c>
      <c r="AU70" s="110">
        <f t="shared" si="244"/>
        <v>391.65</v>
      </c>
      <c r="AV70" s="110">
        <f t="shared" si="136"/>
        <v>0</v>
      </c>
      <c r="AY70" s="110">
        <f t="shared" si="245"/>
        <v>1306.3</v>
      </c>
      <c r="AZ70" s="110">
        <f t="shared" si="246"/>
        <v>0</v>
      </c>
      <c r="BA70" s="110">
        <f t="shared" si="247"/>
        <v>1306.3</v>
      </c>
      <c r="BB70" s="142">
        <v>1231.0899999999999</v>
      </c>
      <c r="BD70" s="142">
        <f t="shared" si="248"/>
        <v>75.210000000000036</v>
      </c>
      <c r="BE70" s="142">
        <f t="shared" si="249"/>
        <v>0</v>
      </c>
      <c r="BF70" s="142">
        <f t="shared" si="250"/>
        <v>246.22</v>
      </c>
      <c r="BG70" s="142">
        <f t="shared" si="251"/>
        <v>0</v>
      </c>
      <c r="BH70" s="110">
        <v>88.51</v>
      </c>
      <c r="BI70" s="110">
        <v>0</v>
      </c>
      <c r="BL70" s="110">
        <f t="shared" si="271"/>
        <v>1394.81</v>
      </c>
      <c r="BM70" s="110">
        <f t="shared" ref="BM70:BM133" si="272">+BI70+AZ70+BK70</f>
        <v>0</v>
      </c>
      <c r="BN70" s="110">
        <f t="shared" ref="BN70:BN133" si="273">BL70+BM70</f>
        <v>1394.81</v>
      </c>
      <c r="BO70" s="110">
        <v>1253.82</v>
      </c>
      <c r="BP70" s="129"/>
      <c r="BQ70" s="110">
        <f t="shared" ref="BQ70:BQ133" si="274">BL70-BO70</f>
        <v>140.99</v>
      </c>
      <c r="BR70" s="110">
        <f t="shared" ref="BR70:BR133" si="275">BM70-BP70</f>
        <v>0</v>
      </c>
      <c r="BS70" s="110">
        <f t="shared" ref="BS70:BS133" si="276">ROUND(BO70/11,2)</f>
        <v>113.98</v>
      </c>
      <c r="BT70" s="110">
        <f t="shared" ref="BT70:BT133" si="277">ROUND(BP70/11,2)</f>
        <v>0</v>
      </c>
      <c r="BU70" s="110">
        <v>0</v>
      </c>
      <c r="BV70" s="110">
        <f t="shared" si="94"/>
        <v>0</v>
      </c>
      <c r="BW70" s="111">
        <v>771.78</v>
      </c>
      <c r="CA70" s="110">
        <f t="shared" ref="CA70:CA133" si="278">+BL70+BU70+BW70</f>
        <v>2166.59</v>
      </c>
      <c r="CB70" s="110">
        <f t="shared" ref="CB70:CB133" si="279">+BM70+BV70+BX70</f>
        <v>0</v>
      </c>
    </row>
    <row r="71" spans="1:80" ht="18" x14ac:dyDescent="0.3">
      <c r="A71" s="18"/>
      <c r="B71" s="18" t="s">
        <v>103</v>
      </c>
      <c r="C71" s="19" t="s">
        <v>104</v>
      </c>
      <c r="D71" s="20" t="s">
        <v>101</v>
      </c>
      <c r="E71" s="21" t="s">
        <v>105</v>
      </c>
      <c r="F71" s="22">
        <v>2173.59</v>
      </c>
      <c r="G71" s="22">
        <v>39.65</v>
      </c>
      <c r="H71" s="22">
        <v>2176.94</v>
      </c>
      <c r="I71" s="22">
        <v>34.26</v>
      </c>
      <c r="J71" s="89">
        <f t="shared" ref="J71:AA71" si="280">+J69+J70</f>
        <v>2762</v>
      </c>
      <c r="K71" s="89">
        <f t="shared" si="280"/>
        <v>0</v>
      </c>
      <c r="L71" s="89">
        <f t="shared" si="280"/>
        <v>0</v>
      </c>
      <c r="M71" s="89">
        <f t="shared" si="280"/>
        <v>2762</v>
      </c>
      <c r="N71" s="89">
        <f t="shared" si="280"/>
        <v>0</v>
      </c>
      <c r="O71" s="89">
        <f t="shared" si="280"/>
        <v>0</v>
      </c>
      <c r="P71" s="89">
        <f t="shared" si="280"/>
        <v>0</v>
      </c>
      <c r="Q71" s="89">
        <f t="shared" si="280"/>
        <v>0</v>
      </c>
      <c r="R71" s="89">
        <f t="shared" si="280"/>
        <v>2762</v>
      </c>
      <c r="S71" s="89">
        <f t="shared" si="280"/>
        <v>20</v>
      </c>
      <c r="T71" s="89">
        <f t="shared" si="280"/>
        <v>0</v>
      </c>
      <c r="U71" s="89">
        <f t="shared" si="280"/>
        <v>0</v>
      </c>
      <c r="V71" s="89">
        <f t="shared" si="280"/>
        <v>2303.85</v>
      </c>
      <c r="W71" s="89">
        <f t="shared" si="280"/>
        <v>35.380000000000003</v>
      </c>
      <c r="X71" s="89">
        <f t="shared" si="280"/>
        <v>458.15000000000009</v>
      </c>
      <c r="Y71" s="89">
        <f t="shared" si="280"/>
        <v>-15.380000000000003</v>
      </c>
      <c r="Z71" s="89">
        <f t="shared" si="280"/>
        <v>2303.85</v>
      </c>
      <c r="AA71" s="89">
        <f t="shared" si="280"/>
        <v>0</v>
      </c>
      <c r="AB71" s="22">
        <f t="shared" si="254"/>
        <v>2303.85</v>
      </c>
      <c r="AC71" s="111">
        <f t="shared" si="255"/>
        <v>0</v>
      </c>
      <c r="AD71" s="22">
        <f t="shared" ref="AD71:CB71" si="281">+AD69+AD70</f>
        <v>2303.85</v>
      </c>
      <c r="AE71" s="22">
        <f t="shared" si="281"/>
        <v>20</v>
      </c>
      <c r="AF71" s="22">
        <f t="shared" si="281"/>
        <v>18.04</v>
      </c>
      <c r="AG71" s="22">
        <f t="shared" si="281"/>
        <v>576</v>
      </c>
      <c r="AH71" s="22">
        <f t="shared" si="281"/>
        <v>5</v>
      </c>
      <c r="AI71" s="120">
        <f t="shared" si="281"/>
        <v>192</v>
      </c>
      <c r="AJ71" s="22">
        <f t="shared" si="281"/>
        <v>2</v>
      </c>
      <c r="AK71" s="22">
        <f t="shared" si="281"/>
        <v>0</v>
      </c>
      <c r="AL71" s="22">
        <f t="shared" si="281"/>
        <v>0</v>
      </c>
      <c r="AM71" s="22">
        <f t="shared" si="281"/>
        <v>575.97</v>
      </c>
      <c r="AN71" s="22">
        <f t="shared" si="281"/>
        <v>4.87</v>
      </c>
      <c r="AO71" s="22">
        <f t="shared" si="281"/>
        <v>0</v>
      </c>
      <c r="AP71" s="22">
        <f t="shared" si="281"/>
        <v>0</v>
      </c>
      <c r="AQ71" s="22">
        <f t="shared" si="281"/>
        <v>1151.97</v>
      </c>
      <c r="AR71" s="22">
        <f t="shared" si="281"/>
        <v>9.870000000000001</v>
      </c>
      <c r="AS71" s="22">
        <f t="shared" si="281"/>
        <v>0</v>
      </c>
      <c r="AT71" s="22">
        <f t="shared" si="281"/>
        <v>0</v>
      </c>
      <c r="AU71" s="22">
        <f t="shared" si="281"/>
        <v>575.97</v>
      </c>
      <c r="AV71" s="22">
        <f t="shared" si="281"/>
        <v>4.13</v>
      </c>
      <c r="AW71" s="22">
        <f t="shared" si="281"/>
        <v>0</v>
      </c>
      <c r="AX71" s="22">
        <f t="shared" si="281"/>
        <v>0</v>
      </c>
      <c r="AY71" s="22">
        <f t="shared" si="281"/>
        <v>1919.94</v>
      </c>
      <c r="AZ71" s="22">
        <f t="shared" si="281"/>
        <v>16</v>
      </c>
      <c r="BA71" s="22">
        <f t="shared" si="281"/>
        <v>1935.94</v>
      </c>
      <c r="BB71" s="22">
        <f t="shared" si="281"/>
        <v>1814.75</v>
      </c>
      <c r="BC71" s="22">
        <f t="shared" si="281"/>
        <v>4.28</v>
      </c>
      <c r="BD71" s="22">
        <f t="shared" si="281"/>
        <v>105.19000000000005</v>
      </c>
      <c r="BE71" s="22">
        <f t="shared" si="281"/>
        <v>11.719999999999999</v>
      </c>
      <c r="BF71" s="22">
        <f t="shared" si="281"/>
        <v>362.95</v>
      </c>
      <c r="BG71" s="120">
        <f t="shared" si="281"/>
        <v>0.86</v>
      </c>
      <c r="BH71" s="120">
        <f t="shared" si="281"/>
        <v>137.19</v>
      </c>
      <c r="BI71" s="120">
        <f t="shared" si="281"/>
        <v>0</v>
      </c>
      <c r="BJ71" s="120">
        <f t="shared" si="281"/>
        <v>0</v>
      </c>
      <c r="BK71" s="120">
        <f t="shared" si="281"/>
        <v>0</v>
      </c>
      <c r="BL71" s="120">
        <f t="shared" si="281"/>
        <v>2057.13</v>
      </c>
      <c r="BM71" s="120">
        <f t="shared" si="281"/>
        <v>16</v>
      </c>
      <c r="BN71" s="120">
        <f t="shared" si="281"/>
        <v>2073.13</v>
      </c>
      <c r="BO71" s="120">
        <f t="shared" si="281"/>
        <v>1900.17</v>
      </c>
      <c r="BP71" s="120">
        <f t="shared" si="281"/>
        <v>5.0999999999999996</v>
      </c>
      <c r="BQ71" s="22">
        <f t="shared" si="281"/>
        <v>156.95999999999992</v>
      </c>
      <c r="BR71" s="22">
        <f t="shared" si="281"/>
        <v>10.9</v>
      </c>
      <c r="BS71" s="22">
        <f t="shared" si="281"/>
        <v>172.74</v>
      </c>
      <c r="BT71" s="22">
        <f t="shared" si="281"/>
        <v>0.46</v>
      </c>
      <c r="BU71" s="22">
        <f t="shared" si="281"/>
        <v>42.79</v>
      </c>
      <c r="BV71" s="22">
        <f t="shared" si="281"/>
        <v>0</v>
      </c>
      <c r="BW71" s="22">
        <f t="shared" si="281"/>
        <v>777.67</v>
      </c>
      <c r="BX71" s="22">
        <f t="shared" si="281"/>
        <v>0</v>
      </c>
      <c r="BY71" s="22">
        <f t="shared" si="281"/>
        <v>0</v>
      </c>
      <c r="BZ71" s="22">
        <f t="shared" si="281"/>
        <v>0</v>
      </c>
      <c r="CA71" s="22">
        <f t="shared" si="281"/>
        <v>2877.59</v>
      </c>
      <c r="CB71" s="22">
        <f t="shared" si="281"/>
        <v>16</v>
      </c>
    </row>
    <row r="72" spans="1:80" ht="18" x14ac:dyDescent="0.3">
      <c r="A72" s="13">
        <v>53</v>
      </c>
      <c r="B72" s="13"/>
      <c r="C72" s="14"/>
      <c r="D72" s="15" t="s">
        <v>106</v>
      </c>
      <c r="E72" s="16"/>
      <c r="F72" s="82">
        <v>2132.9800000000005</v>
      </c>
      <c r="G72" s="82">
        <v>194.81</v>
      </c>
      <c r="H72" s="82">
        <v>2132.9800000000005</v>
      </c>
      <c r="I72" s="17">
        <v>205</v>
      </c>
      <c r="J72" s="87">
        <v>1800</v>
      </c>
      <c r="K72" s="88">
        <v>510</v>
      </c>
      <c r="L72" s="88">
        <v>0</v>
      </c>
      <c r="M72" s="88">
        <f t="shared" si="194"/>
        <v>2310</v>
      </c>
      <c r="N72" s="88">
        <v>0</v>
      </c>
      <c r="O72" s="88">
        <v>0</v>
      </c>
      <c r="P72" s="88">
        <v>0</v>
      </c>
      <c r="Q72" s="88">
        <f t="shared" ref="Q72:Q74" si="282">N72+O72+P72</f>
        <v>0</v>
      </c>
      <c r="R72" s="88">
        <f t="shared" si="99"/>
        <v>2310</v>
      </c>
      <c r="S72" s="88">
        <v>200</v>
      </c>
      <c r="V72" s="17">
        <f t="shared" ref="V72:V73" si="283">ROUND(H72*1.0583,2)</f>
        <v>2257.33</v>
      </c>
      <c r="W72" s="17">
        <f t="shared" ref="W72:W73" si="284">ROUND(I72*1.0327,2)</f>
        <v>211.7</v>
      </c>
      <c r="X72" s="110">
        <f t="shared" si="252"/>
        <v>52.670000000000073</v>
      </c>
      <c r="Y72" s="111">
        <f t="shared" si="253"/>
        <v>-11.699999999999989</v>
      </c>
      <c r="Z72" s="118">
        <v>2257.33</v>
      </c>
      <c r="AA72" s="118"/>
      <c r="AB72" s="118">
        <f t="shared" si="254"/>
        <v>2257.33</v>
      </c>
      <c r="AC72" s="111">
        <f t="shared" si="255"/>
        <v>0</v>
      </c>
      <c r="AD72" s="110">
        <f t="shared" ref="AD72" si="285">IF(X72&gt;0,V72,R72)</f>
        <v>2257.33</v>
      </c>
      <c r="AE72" s="110">
        <f t="shared" ref="AE72" si="286">IF(Y72&gt;0,W72,S72)</f>
        <v>200</v>
      </c>
      <c r="AF72" s="110">
        <f t="shared" si="256"/>
        <v>180.44</v>
      </c>
      <c r="AG72" s="110">
        <f t="shared" si="257"/>
        <v>564</v>
      </c>
      <c r="AH72" s="110">
        <f t="shared" si="258"/>
        <v>50</v>
      </c>
      <c r="AI72" s="129">
        <f t="shared" si="259"/>
        <v>188</v>
      </c>
      <c r="AJ72" s="110">
        <f t="shared" si="260"/>
        <v>17</v>
      </c>
      <c r="AM72" s="110">
        <f t="shared" si="261"/>
        <v>564.33000000000004</v>
      </c>
      <c r="AN72" s="110">
        <f t="shared" si="262"/>
        <v>48.7</v>
      </c>
      <c r="AQ72" s="110">
        <f t="shared" si="263"/>
        <v>1128.33</v>
      </c>
      <c r="AR72" s="110">
        <f t="shared" si="264"/>
        <v>98.7</v>
      </c>
      <c r="AT72" s="141"/>
      <c r="AU72" s="141">
        <f t="shared" si="244"/>
        <v>564.33000000000004</v>
      </c>
      <c r="AV72" s="141">
        <f>ROUND(AE72*25%,2)+34.3</f>
        <v>84.3</v>
      </c>
      <c r="AW72" s="141"/>
      <c r="AX72" s="141"/>
      <c r="AY72" s="110">
        <f t="shared" si="245"/>
        <v>1880.6599999999999</v>
      </c>
      <c r="AZ72" s="110">
        <f t="shared" si="246"/>
        <v>200</v>
      </c>
      <c r="BA72" s="110">
        <f t="shared" si="247"/>
        <v>2080.66</v>
      </c>
      <c r="BB72" s="142">
        <v>1762.09</v>
      </c>
      <c r="BC72" s="142">
        <v>195.34</v>
      </c>
      <c r="BD72" s="142">
        <f t="shared" si="248"/>
        <v>118.56999999999994</v>
      </c>
      <c r="BE72" s="142">
        <f t="shared" si="249"/>
        <v>4.6599999999999966</v>
      </c>
      <c r="BF72" s="142">
        <f t="shared" si="250"/>
        <v>352.42</v>
      </c>
      <c r="BG72" s="142">
        <f t="shared" si="251"/>
        <v>39.07</v>
      </c>
      <c r="BH72" s="110">
        <v>116.93</v>
      </c>
      <c r="BI72" s="110">
        <v>15</v>
      </c>
      <c r="BL72" s="110">
        <f t="shared" si="271"/>
        <v>1997.59</v>
      </c>
      <c r="BM72" s="110">
        <f t="shared" si="272"/>
        <v>215</v>
      </c>
      <c r="BN72" s="110">
        <f t="shared" si="273"/>
        <v>2212.59</v>
      </c>
      <c r="BO72" s="110">
        <v>1946.83</v>
      </c>
      <c r="BP72" s="129">
        <v>197.76</v>
      </c>
      <c r="BQ72" s="110">
        <f t="shared" si="274"/>
        <v>50.759999999999991</v>
      </c>
      <c r="BR72" s="110">
        <f t="shared" si="275"/>
        <v>17.240000000000009</v>
      </c>
      <c r="BS72" s="110">
        <f t="shared" si="276"/>
        <v>176.98</v>
      </c>
      <c r="BT72" s="110">
        <f t="shared" si="277"/>
        <v>17.98</v>
      </c>
      <c r="BU72" s="110">
        <f t="shared" ref="BU72:BU111" si="287">BS72-BQ72</f>
        <v>126.22</v>
      </c>
      <c r="BV72" s="110">
        <v>0</v>
      </c>
      <c r="BW72" s="111">
        <v>24.23</v>
      </c>
      <c r="BX72" s="110">
        <v>11.97</v>
      </c>
      <c r="CA72" s="110">
        <f t="shared" si="278"/>
        <v>2148.04</v>
      </c>
      <c r="CB72" s="110">
        <f t="shared" si="279"/>
        <v>226.97</v>
      </c>
    </row>
    <row r="73" spans="1:80" ht="31.2" x14ac:dyDescent="0.3">
      <c r="A73" s="13">
        <v>54</v>
      </c>
      <c r="B73" s="13"/>
      <c r="C73" s="14"/>
      <c r="D73" s="148" t="s">
        <v>562</v>
      </c>
      <c r="E73" s="16"/>
      <c r="F73" s="82">
        <v>900.8</v>
      </c>
      <c r="G73" s="82">
        <v>0</v>
      </c>
      <c r="H73" s="82">
        <v>1054.0999999999999</v>
      </c>
      <c r="I73" s="17">
        <v>0</v>
      </c>
      <c r="J73" s="87">
        <v>1212.22</v>
      </c>
      <c r="K73" s="88">
        <v>0</v>
      </c>
      <c r="L73" s="88">
        <v>0</v>
      </c>
      <c r="M73" s="88">
        <f t="shared" si="194"/>
        <v>1212.22</v>
      </c>
      <c r="N73" s="88">
        <v>0</v>
      </c>
      <c r="O73" s="88">
        <v>0</v>
      </c>
      <c r="P73" s="88">
        <v>0</v>
      </c>
      <c r="Q73" s="88">
        <f t="shared" si="282"/>
        <v>0</v>
      </c>
      <c r="R73" s="88">
        <f t="shared" si="99"/>
        <v>1212.22</v>
      </c>
      <c r="S73" s="88">
        <v>0</v>
      </c>
      <c r="V73" s="17">
        <f t="shared" si="283"/>
        <v>1115.55</v>
      </c>
      <c r="W73" s="17">
        <f t="shared" si="284"/>
        <v>0</v>
      </c>
      <c r="X73" s="110">
        <f t="shared" si="252"/>
        <v>96.670000000000073</v>
      </c>
      <c r="Y73" s="110">
        <f t="shared" si="253"/>
        <v>0</v>
      </c>
      <c r="Z73" s="118">
        <v>1538.04</v>
      </c>
      <c r="AA73" s="118">
        <v>70</v>
      </c>
      <c r="AB73" s="118">
        <f t="shared" si="254"/>
        <v>1608.04</v>
      </c>
      <c r="AC73" s="111">
        <v>0</v>
      </c>
      <c r="AD73" s="110">
        <v>1608.04</v>
      </c>
      <c r="AE73" s="110">
        <v>0</v>
      </c>
      <c r="AF73" s="110">
        <v>0</v>
      </c>
      <c r="AG73" s="110">
        <v>402</v>
      </c>
      <c r="AH73" s="110">
        <v>0</v>
      </c>
      <c r="AI73" s="129">
        <v>134</v>
      </c>
      <c r="AJ73" s="110">
        <v>0</v>
      </c>
      <c r="AM73" s="110">
        <v>402.01</v>
      </c>
      <c r="AN73" s="110">
        <v>0</v>
      </c>
      <c r="AQ73" s="110">
        <f t="shared" si="263"/>
        <v>804.01</v>
      </c>
      <c r="AR73" s="110">
        <v>0</v>
      </c>
      <c r="AT73" s="141"/>
      <c r="AU73" s="141">
        <v>133.99</v>
      </c>
      <c r="AV73" s="141">
        <v>0</v>
      </c>
      <c r="AW73" s="141"/>
      <c r="AX73" s="141"/>
      <c r="AY73" s="110">
        <f t="shared" si="245"/>
        <v>1072</v>
      </c>
      <c r="AZ73" s="110">
        <f t="shared" si="246"/>
        <v>0</v>
      </c>
      <c r="BA73" s="110">
        <f t="shared" si="247"/>
        <v>1072</v>
      </c>
      <c r="BB73" s="142">
        <v>990.77</v>
      </c>
      <c r="BD73" s="142">
        <f t="shared" si="248"/>
        <v>81.230000000000018</v>
      </c>
      <c r="BE73" s="142">
        <f t="shared" si="249"/>
        <v>0</v>
      </c>
      <c r="BF73" s="142">
        <f t="shared" si="250"/>
        <v>198.15</v>
      </c>
      <c r="BG73" s="142">
        <f t="shared" si="251"/>
        <v>0</v>
      </c>
      <c r="BH73" s="110">
        <v>58.46</v>
      </c>
      <c r="BI73" s="110">
        <v>0</v>
      </c>
      <c r="BL73" s="110">
        <f t="shared" si="271"/>
        <v>1130.46</v>
      </c>
      <c r="BM73" s="110">
        <f t="shared" si="272"/>
        <v>0</v>
      </c>
      <c r="BN73" s="110">
        <f t="shared" si="273"/>
        <v>1130.46</v>
      </c>
      <c r="BO73" s="110">
        <v>1008.45</v>
      </c>
      <c r="BP73" s="129"/>
      <c r="BQ73" s="110">
        <f t="shared" si="274"/>
        <v>122.00999999999999</v>
      </c>
      <c r="BR73" s="110">
        <f t="shared" si="275"/>
        <v>0</v>
      </c>
      <c r="BS73" s="110">
        <f t="shared" si="276"/>
        <v>91.68</v>
      </c>
      <c r="BT73" s="110">
        <f t="shared" si="277"/>
        <v>0</v>
      </c>
      <c r="BU73" s="110">
        <f t="shared" si="287"/>
        <v>-30.329999999999984</v>
      </c>
      <c r="BV73" s="110">
        <f t="shared" si="94"/>
        <v>0</v>
      </c>
      <c r="BW73" s="111">
        <v>437.91</v>
      </c>
      <c r="CA73" s="110">
        <f t="shared" si="278"/>
        <v>1538.0400000000002</v>
      </c>
      <c r="CB73" s="110">
        <f t="shared" si="279"/>
        <v>0</v>
      </c>
    </row>
    <row r="74" spans="1:80" ht="18" x14ac:dyDescent="0.3">
      <c r="A74" s="13">
        <v>56</v>
      </c>
      <c r="B74" s="13"/>
      <c r="C74" s="14"/>
      <c r="D74" s="15" t="s">
        <v>107</v>
      </c>
      <c r="E74" s="16"/>
      <c r="F74" s="82">
        <v>333.96999999999997</v>
      </c>
      <c r="G74" s="82">
        <v>0</v>
      </c>
      <c r="H74" s="82">
        <v>373.27</v>
      </c>
      <c r="I74" s="17">
        <v>0</v>
      </c>
      <c r="J74" s="87">
        <v>429.26</v>
      </c>
      <c r="K74" s="88">
        <v>0</v>
      </c>
      <c r="L74" s="88">
        <v>0</v>
      </c>
      <c r="M74" s="88">
        <f t="shared" si="194"/>
        <v>429.26</v>
      </c>
      <c r="N74" s="88">
        <v>0</v>
      </c>
      <c r="O74" s="88">
        <v>0</v>
      </c>
      <c r="P74" s="88">
        <v>0</v>
      </c>
      <c r="Q74" s="88">
        <f t="shared" si="282"/>
        <v>0</v>
      </c>
      <c r="R74" s="88">
        <f t="shared" si="99"/>
        <v>429.26</v>
      </c>
      <c r="S74" s="88">
        <v>0</v>
      </c>
      <c r="V74" s="17">
        <f t="shared" ref="V74" si="288">ROUND(H74*1.0583,2)</f>
        <v>395.03</v>
      </c>
      <c r="W74" s="17">
        <f t="shared" ref="W74" si="289">ROUND(I74*1.0327,2)</f>
        <v>0</v>
      </c>
      <c r="X74" s="110">
        <f t="shared" si="252"/>
        <v>34.230000000000018</v>
      </c>
      <c r="Y74" s="110">
        <f t="shared" si="253"/>
        <v>0</v>
      </c>
      <c r="Z74" s="110">
        <v>395.03</v>
      </c>
      <c r="AA74" s="110"/>
      <c r="AB74" s="110">
        <f t="shared" si="254"/>
        <v>395.03</v>
      </c>
      <c r="AC74" s="111">
        <f t="shared" si="255"/>
        <v>0</v>
      </c>
      <c r="AD74" s="110">
        <v>395.03</v>
      </c>
      <c r="AE74" s="110">
        <v>0</v>
      </c>
      <c r="AF74" s="110">
        <v>0</v>
      </c>
      <c r="AG74" s="110">
        <v>99</v>
      </c>
      <c r="AH74" s="110">
        <v>0</v>
      </c>
      <c r="AI74" s="129">
        <v>33</v>
      </c>
      <c r="AJ74" s="110">
        <v>0</v>
      </c>
      <c r="AM74" s="110">
        <v>98.76</v>
      </c>
      <c r="AN74" s="110">
        <v>0</v>
      </c>
      <c r="AQ74" s="110">
        <f t="shared" si="263"/>
        <v>197.76</v>
      </c>
      <c r="AR74" s="110">
        <v>0</v>
      </c>
      <c r="AT74" s="141"/>
      <c r="AU74" s="141">
        <v>98.76</v>
      </c>
      <c r="AV74" s="141">
        <v>0</v>
      </c>
      <c r="AW74" s="141"/>
      <c r="AX74" s="141"/>
      <c r="AY74" s="110">
        <f t="shared" si="245"/>
        <v>329.52</v>
      </c>
      <c r="AZ74" s="110">
        <f t="shared" si="246"/>
        <v>0</v>
      </c>
      <c r="BA74" s="110">
        <f t="shared" si="247"/>
        <v>329.52</v>
      </c>
      <c r="BB74" s="142">
        <v>300.99</v>
      </c>
      <c r="BD74" s="142">
        <f t="shared" si="248"/>
        <v>28.529999999999973</v>
      </c>
      <c r="BE74" s="142">
        <f t="shared" si="249"/>
        <v>0</v>
      </c>
      <c r="BF74" s="142">
        <f t="shared" si="250"/>
        <v>60.2</v>
      </c>
      <c r="BG74" s="142">
        <f t="shared" si="251"/>
        <v>0</v>
      </c>
      <c r="BH74" s="110">
        <v>15.84</v>
      </c>
      <c r="BI74" s="110">
        <v>0</v>
      </c>
      <c r="BL74" s="110">
        <f t="shared" si="271"/>
        <v>345.35999999999996</v>
      </c>
      <c r="BM74" s="110">
        <f t="shared" si="272"/>
        <v>0</v>
      </c>
      <c r="BN74" s="110">
        <f t="shared" si="273"/>
        <v>345.35999999999996</v>
      </c>
      <c r="BO74" s="110">
        <v>300.99</v>
      </c>
      <c r="BP74" s="129"/>
      <c r="BQ74" s="110">
        <f t="shared" si="274"/>
        <v>44.369999999999948</v>
      </c>
      <c r="BR74" s="110">
        <f t="shared" si="275"/>
        <v>0</v>
      </c>
      <c r="BS74" s="110">
        <f t="shared" si="276"/>
        <v>27.36</v>
      </c>
      <c r="BT74" s="110">
        <f t="shared" si="277"/>
        <v>0</v>
      </c>
      <c r="BU74" s="110">
        <f t="shared" si="287"/>
        <v>-17.009999999999948</v>
      </c>
      <c r="BV74" s="110">
        <f t="shared" si="94"/>
        <v>0</v>
      </c>
      <c r="BW74" s="111">
        <v>418.57</v>
      </c>
      <c r="CA74" s="110">
        <f t="shared" si="278"/>
        <v>746.92000000000007</v>
      </c>
      <c r="CB74" s="110">
        <f t="shared" si="279"/>
        <v>0</v>
      </c>
    </row>
    <row r="75" spans="1:80" ht="18" x14ac:dyDescent="0.3">
      <c r="A75" s="18"/>
      <c r="B75" s="18" t="s">
        <v>108</v>
      </c>
      <c r="C75" s="19" t="s">
        <v>89</v>
      </c>
      <c r="D75" s="20" t="s">
        <v>106</v>
      </c>
      <c r="E75" s="21" t="s">
        <v>109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9" t="e">
        <f>+J72+J73+#REF!+J74</f>
        <v>#REF!</v>
      </c>
      <c r="K75" s="89" t="e">
        <f>+K72+K73+#REF!+K74</f>
        <v>#REF!</v>
      </c>
      <c r="L75" s="89" t="e">
        <f>+L72+L73+#REF!+L74</f>
        <v>#REF!</v>
      </c>
      <c r="M75" s="89" t="e">
        <f>+M72+M73+#REF!+M74</f>
        <v>#REF!</v>
      </c>
      <c r="N75" s="89" t="e">
        <f>+N72+N73+#REF!+N74</f>
        <v>#REF!</v>
      </c>
      <c r="O75" s="89" t="e">
        <f>+O72+O73+#REF!+O74</f>
        <v>#REF!</v>
      </c>
      <c r="P75" s="89" t="e">
        <f>+P72+P73+#REF!+P74</f>
        <v>#REF!</v>
      </c>
      <c r="Q75" s="89" t="e">
        <f>+Q72+Q73+#REF!+Q74</f>
        <v>#REF!</v>
      </c>
      <c r="R75" s="89" t="e">
        <f>+R72+R73+#REF!+R74</f>
        <v>#REF!</v>
      </c>
      <c r="S75" s="89" t="e">
        <f>+S72+S73+#REF!+S74</f>
        <v>#REF!</v>
      </c>
      <c r="T75" s="89" t="e">
        <f>+T72+T73+#REF!+T74</f>
        <v>#REF!</v>
      </c>
      <c r="U75" s="89" t="e">
        <f>+U72+U73+#REF!+U74</f>
        <v>#REF!</v>
      </c>
      <c r="V75" s="89" t="e">
        <f>+V72+V73+#REF!+V74</f>
        <v>#REF!</v>
      </c>
      <c r="W75" s="89" t="e">
        <f>+W72+W73+#REF!+W74</f>
        <v>#REF!</v>
      </c>
      <c r="X75" s="89" t="e">
        <f>+X72+X73+#REF!+X74</f>
        <v>#REF!</v>
      </c>
      <c r="Y75" s="89" t="e">
        <f>+Y72+Y73+#REF!+Y74</f>
        <v>#REF!</v>
      </c>
      <c r="Z75" s="89" t="e">
        <f>+Z72+Z73+#REF!+Z74</f>
        <v>#REF!</v>
      </c>
      <c r="AA75" s="89" t="e">
        <f>+AA72+AA73+#REF!+AA74</f>
        <v>#REF!</v>
      </c>
      <c r="AB75" s="22" t="e">
        <f t="shared" si="254"/>
        <v>#REF!</v>
      </c>
      <c r="AC75" s="111" t="e">
        <f t="shared" si="255"/>
        <v>#REF!</v>
      </c>
      <c r="AD75" s="22">
        <f t="shared" ref="AD75" si="290">+AD72+AD73+AD74</f>
        <v>4260.3999999999996</v>
      </c>
      <c r="AE75" s="22">
        <f t="shared" ref="AE75" si="291">+AE72+AE73+AE74</f>
        <v>200</v>
      </c>
      <c r="AF75" s="22">
        <f t="shared" ref="AF75" si="292">+AF72+AF73+AF74</f>
        <v>180.44</v>
      </c>
      <c r="AG75" s="22">
        <f t="shared" ref="AG75" si="293">+AG72+AG73+AG74</f>
        <v>1065</v>
      </c>
      <c r="AH75" s="22">
        <f t="shared" ref="AH75" si="294">+AH72+AH73+AH74</f>
        <v>50</v>
      </c>
      <c r="AI75" s="22">
        <f t="shared" ref="AI75" si="295">+AI72+AI73+AI74</f>
        <v>355</v>
      </c>
      <c r="AJ75" s="22">
        <f t="shared" ref="AJ75" si="296">+AJ72+AJ73+AJ74</f>
        <v>17</v>
      </c>
      <c r="AK75" s="22">
        <f t="shared" ref="AK75" si="297">+AK72+AK73+AK74</f>
        <v>0</v>
      </c>
      <c r="AL75" s="22">
        <f t="shared" ref="AL75" si="298">+AL72+AL73+AL74</f>
        <v>0</v>
      </c>
      <c r="AM75" s="22">
        <f t="shared" ref="AM75" si="299">+AM72+AM73+AM74</f>
        <v>1065.1000000000001</v>
      </c>
      <c r="AN75" s="22">
        <f t="shared" ref="AN75" si="300">+AN72+AN73+AN74</f>
        <v>48.7</v>
      </c>
      <c r="AO75" s="22">
        <f t="shared" ref="AO75" si="301">+AO72+AO73+AO74</f>
        <v>0</v>
      </c>
      <c r="AP75" s="22">
        <f t="shared" ref="AP75" si="302">+AP72+AP73+AP74</f>
        <v>0</v>
      </c>
      <c r="AQ75" s="22">
        <f t="shared" ref="AQ75" si="303">+AQ72+AQ73+AQ74</f>
        <v>2130.1</v>
      </c>
      <c r="AR75" s="22">
        <f t="shared" ref="AR75" si="304">+AR72+AR73+AR74</f>
        <v>98.7</v>
      </c>
      <c r="AS75" s="22">
        <f t="shared" ref="AS75" si="305">+AS72+AS73+AS74</f>
        <v>0</v>
      </c>
      <c r="AT75" s="22">
        <f t="shared" ref="AT75" si="306">+AT72+AT73+AT74</f>
        <v>0</v>
      </c>
      <c r="AU75" s="22">
        <f t="shared" ref="AU75" si="307">+AU72+AU73+AU74</f>
        <v>797.08</v>
      </c>
      <c r="AV75" s="22">
        <f t="shared" ref="AV75" si="308">+AV72+AV73+AV74</f>
        <v>84.3</v>
      </c>
      <c r="AW75" s="22">
        <f t="shared" ref="AW75" si="309">+AW72+AW73+AW74</f>
        <v>0</v>
      </c>
      <c r="AX75" s="22">
        <f t="shared" ref="AX75" si="310">+AX72+AX73+AX74</f>
        <v>0</v>
      </c>
      <c r="AY75" s="22">
        <f t="shared" ref="AY75" si="311">+AY72+AY73+AY74</f>
        <v>3282.18</v>
      </c>
      <c r="AZ75" s="22">
        <f t="shared" ref="AZ75" si="312">+AZ72+AZ73+AZ74</f>
        <v>200</v>
      </c>
      <c r="BA75" s="22">
        <f t="shared" ref="BA75" si="313">+BA72+BA73+BA74</f>
        <v>3482.18</v>
      </c>
      <c r="BB75" s="22">
        <f t="shared" ref="BB75" si="314">+BB72+BB73+BB74</f>
        <v>3053.8499999999995</v>
      </c>
      <c r="BC75" s="22">
        <f t="shared" ref="BC75" si="315">+BC72+BC73+BC74</f>
        <v>195.34</v>
      </c>
      <c r="BD75" s="22">
        <f t="shared" ref="BD75" si="316">+BD72+BD73+BD74</f>
        <v>228.32999999999993</v>
      </c>
      <c r="BE75" s="22">
        <f t="shared" ref="BE75" si="317">+BE72+BE73+BE74</f>
        <v>4.6599999999999966</v>
      </c>
      <c r="BF75" s="22">
        <f t="shared" ref="BF75" si="318">+BF72+BF73+BF74</f>
        <v>610.7700000000001</v>
      </c>
      <c r="BG75" s="120">
        <f t="shared" ref="BG75:CB75" si="319">+BG72+BG73+BG74</f>
        <v>39.07</v>
      </c>
      <c r="BH75" s="120">
        <f t="shared" si="319"/>
        <v>191.23000000000002</v>
      </c>
      <c r="BI75" s="120">
        <f t="shared" si="319"/>
        <v>15</v>
      </c>
      <c r="BJ75" s="120">
        <f t="shared" si="319"/>
        <v>0</v>
      </c>
      <c r="BK75" s="120">
        <f t="shared" si="319"/>
        <v>0</v>
      </c>
      <c r="BL75" s="120">
        <f t="shared" si="319"/>
        <v>3473.4100000000003</v>
      </c>
      <c r="BM75" s="120">
        <f t="shared" si="319"/>
        <v>215</v>
      </c>
      <c r="BN75" s="120">
        <f t="shared" si="319"/>
        <v>3688.4100000000003</v>
      </c>
      <c r="BO75" s="120">
        <f t="shared" si="319"/>
        <v>3256.2699999999995</v>
      </c>
      <c r="BP75" s="120">
        <f t="shared" si="319"/>
        <v>197.76</v>
      </c>
      <c r="BQ75" s="22">
        <f t="shared" si="319"/>
        <v>217.13999999999993</v>
      </c>
      <c r="BR75" s="22">
        <f t="shared" si="319"/>
        <v>17.240000000000009</v>
      </c>
      <c r="BS75" s="22">
        <f t="shared" si="319"/>
        <v>296.02</v>
      </c>
      <c r="BT75" s="22">
        <f t="shared" si="319"/>
        <v>17.98</v>
      </c>
      <c r="BU75" s="22">
        <f t="shared" si="319"/>
        <v>78.880000000000067</v>
      </c>
      <c r="BV75" s="22">
        <f t="shared" si="319"/>
        <v>0</v>
      </c>
      <c r="BW75" s="22">
        <f t="shared" si="319"/>
        <v>880.71</v>
      </c>
      <c r="BX75" s="22">
        <f t="shared" si="319"/>
        <v>11.97</v>
      </c>
      <c r="BY75" s="22">
        <f t="shared" si="319"/>
        <v>0</v>
      </c>
      <c r="BZ75" s="22">
        <f t="shared" si="319"/>
        <v>0</v>
      </c>
      <c r="CA75" s="22">
        <f t="shared" si="319"/>
        <v>4433</v>
      </c>
      <c r="CB75" s="22">
        <f t="shared" si="319"/>
        <v>226.97</v>
      </c>
    </row>
    <row r="76" spans="1:80" ht="18" x14ac:dyDescent="0.3">
      <c r="A76" s="13">
        <v>57</v>
      </c>
      <c r="B76" s="13"/>
      <c r="C76" s="14"/>
      <c r="D76" s="15" t="s">
        <v>110</v>
      </c>
      <c r="E76" s="16"/>
      <c r="F76" s="82">
        <v>2684.24</v>
      </c>
      <c r="G76" s="82">
        <v>284.73999999999995</v>
      </c>
      <c r="H76" s="82">
        <v>2708.0699999999997</v>
      </c>
      <c r="I76" s="17">
        <v>334.73999999999995</v>
      </c>
      <c r="J76" s="87">
        <v>2835</v>
      </c>
      <c r="K76" s="88">
        <v>265</v>
      </c>
      <c r="L76" s="88">
        <v>0</v>
      </c>
      <c r="M76" s="88">
        <f t="shared" si="194"/>
        <v>3100</v>
      </c>
      <c r="N76" s="88">
        <v>0</v>
      </c>
      <c r="O76" s="88">
        <v>0</v>
      </c>
      <c r="P76" s="88">
        <v>0</v>
      </c>
      <c r="Q76" s="88">
        <f t="shared" ref="Q76:Q78" si="320">N76+O76+P76</f>
        <v>0</v>
      </c>
      <c r="R76" s="88">
        <f t="shared" si="99"/>
        <v>3100</v>
      </c>
      <c r="S76" s="88">
        <v>300</v>
      </c>
      <c r="V76" s="17">
        <f t="shared" ref="V76" si="321">ROUND(H76*1.0583,2)</f>
        <v>2865.95</v>
      </c>
      <c r="W76" s="17">
        <f t="shared" ref="W76" si="322">ROUND(I76*1.0327,2)</f>
        <v>345.69</v>
      </c>
      <c r="X76" s="110">
        <f t="shared" si="252"/>
        <v>234.05000000000018</v>
      </c>
      <c r="Y76" s="111">
        <f t="shared" si="253"/>
        <v>-45.69</v>
      </c>
      <c r="Z76" s="118">
        <v>2865.95</v>
      </c>
      <c r="AA76" s="118"/>
      <c r="AB76" s="118">
        <f t="shared" si="254"/>
        <v>2865.95</v>
      </c>
      <c r="AC76" s="111">
        <f t="shared" si="255"/>
        <v>0</v>
      </c>
      <c r="AD76" s="110">
        <f t="shared" ref="AD76" si="323">IF(X76&gt;0,V76,R76)</f>
        <v>2865.95</v>
      </c>
      <c r="AE76" s="110">
        <f t="shared" ref="AE76" si="324">IF(Y76&gt;0,W76,S76)</f>
        <v>300</v>
      </c>
      <c r="AF76" s="110">
        <f t="shared" si="256"/>
        <v>270.66000000000003</v>
      </c>
      <c r="AG76" s="110">
        <f t="shared" si="257"/>
        <v>716</v>
      </c>
      <c r="AH76" s="110">
        <f t="shared" si="258"/>
        <v>75</v>
      </c>
      <c r="AI76" s="129">
        <f t="shared" si="259"/>
        <v>239</v>
      </c>
      <c r="AJ76" s="110">
        <f t="shared" si="260"/>
        <v>25</v>
      </c>
      <c r="AM76" s="110">
        <f t="shared" si="261"/>
        <v>716.49</v>
      </c>
      <c r="AN76" s="110">
        <f t="shared" si="262"/>
        <v>73.05</v>
      </c>
      <c r="AQ76" s="110">
        <f t="shared" si="263"/>
        <v>1432.49</v>
      </c>
      <c r="AR76" s="110">
        <f t="shared" si="264"/>
        <v>148.05000000000001</v>
      </c>
      <c r="AU76" s="110">
        <f t="shared" si="244"/>
        <v>716.49</v>
      </c>
      <c r="AV76" s="110">
        <f t="shared" si="136"/>
        <v>75</v>
      </c>
      <c r="AY76" s="110">
        <f t="shared" si="245"/>
        <v>2387.98</v>
      </c>
      <c r="AZ76" s="110">
        <f t="shared" si="246"/>
        <v>248.05</v>
      </c>
      <c r="BA76" s="110">
        <f t="shared" si="247"/>
        <v>2636.03</v>
      </c>
      <c r="BB76" s="142">
        <v>2262.13</v>
      </c>
      <c r="BC76" s="142">
        <v>283.75</v>
      </c>
      <c r="BD76" s="142">
        <f t="shared" si="248"/>
        <v>125.84999999999991</v>
      </c>
      <c r="BE76" s="142">
        <f t="shared" si="249"/>
        <v>-35.699999999999989</v>
      </c>
      <c r="BF76" s="142">
        <f t="shared" si="250"/>
        <v>452.43</v>
      </c>
      <c r="BG76" s="142">
        <f t="shared" si="251"/>
        <v>56.75</v>
      </c>
      <c r="BH76" s="110">
        <v>163.29</v>
      </c>
      <c r="BI76" s="110">
        <v>32.5</v>
      </c>
      <c r="BL76" s="110">
        <f t="shared" si="271"/>
        <v>2551.27</v>
      </c>
      <c r="BM76" s="110">
        <f t="shared" si="272"/>
        <v>280.55</v>
      </c>
      <c r="BN76" s="110">
        <f t="shared" si="273"/>
        <v>2831.82</v>
      </c>
      <c r="BO76" s="110">
        <v>2517.65</v>
      </c>
      <c r="BP76" s="129">
        <v>312.14</v>
      </c>
      <c r="BQ76" s="110">
        <f t="shared" si="274"/>
        <v>33.619999999999891</v>
      </c>
      <c r="BR76" s="110">
        <f t="shared" si="275"/>
        <v>-31.589999999999975</v>
      </c>
      <c r="BS76" s="110">
        <f t="shared" si="276"/>
        <v>228.88</v>
      </c>
      <c r="BT76" s="110">
        <f t="shared" si="277"/>
        <v>28.38</v>
      </c>
      <c r="BU76" s="110">
        <f t="shared" si="287"/>
        <v>195.2600000000001</v>
      </c>
      <c r="BV76" s="110">
        <f>ROUND(BT76-BR76,2)-20</f>
        <v>39.97</v>
      </c>
      <c r="BW76" s="111">
        <v>36.79</v>
      </c>
      <c r="BX76" s="110">
        <v>27.48</v>
      </c>
      <c r="CA76" s="110">
        <f t="shared" si="278"/>
        <v>2783.32</v>
      </c>
      <c r="CB76" s="110">
        <f t="shared" si="279"/>
        <v>348</v>
      </c>
    </row>
    <row r="77" spans="1:80" ht="18" x14ac:dyDescent="0.3">
      <c r="A77" s="13">
        <v>58</v>
      </c>
      <c r="B77" s="13"/>
      <c r="C77" s="14"/>
      <c r="D77" s="15" t="s">
        <v>111</v>
      </c>
      <c r="E77" s="16"/>
      <c r="F77" s="82">
        <v>2794.78</v>
      </c>
      <c r="G77" s="82">
        <v>0</v>
      </c>
      <c r="H77" s="82">
        <v>2794.78</v>
      </c>
      <c r="I77" s="17">
        <v>0</v>
      </c>
      <c r="J77" s="87">
        <v>3397.03</v>
      </c>
      <c r="K77" s="88">
        <v>0</v>
      </c>
      <c r="L77" s="88">
        <v>0</v>
      </c>
      <c r="M77" s="88">
        <f t="shared" si="194"/>
        <v>3397.03</v>
      </c>
      <c r="N77" s="88">
        <v>363.97</v>
      </c>
      <c r="O77" s="88">
        <v>0</v>
      </c>
      <c r="P77" s="88">
        <v>0</v>
      </c>
      <c r="Q77" s="88">
        <f t="shared" si="320"/>
        <v>363.97</v>
      </c>
      <c r="R77" s="88">
        <f t="shared" si="99"/>
        <v>3761</v>
      </c>
      <c r="S77" s="88">
        <v>0</v>
      </c>
      <c r="V77" s="17">
        <f t="shared" ref="V77:V78" si="325">ROUND(H77*1.0583,2)</f>
        <v>2957.72</v>
      </c>
      <c r="W77" s="17">
        <f t="shared" ref="W77:W78" si="326">ROUND(I77*1.0327,2)</f>
        <v>0</v>
      </c>
      <c r="X77" s="110">
        <f t="shared" si="252"/>
        <v>803.2800000000002</v>
      </c>
      <c r="Y77" s="110">
        <f t="shared" si="253"/>
        <v>0</v>
      </c>
      <c r="Z77" s="110">
        <v>2707.72</v>
      </c>
      <c r="AA77" s="110">
        <v>250</v>
      </c>
      <c r="AB77" s="110">
        <f t="shared" si="254"/>
        <v>2957.72</v>
      </c>
      <c r="AC77" s="111">
        <f t="shared" si="255"/>
        <v>0</v>
      </c>
      <c r="AD77" s="110">
        <f t="shared" ref="AD77:AD78" si="327">IF(X77&gt;0,V77,R77)</f>
        <v>2957.72</v>
      </c>
      <c r="AE77" s="110">
        <f t="shared" ref="AE77:AE78" si="328">IF(Y77&gt;0,W77,S77)</f>
        <v>0</v>
      </c>
      <c r="AF77" s="110">
        <f t="shared" si="256"/>
        <v>0</v>
      </c>
      <c r="AG77" s="110">
        <f t="shared" si="257"/>
        <v>739</v>
      </c>
      <c r="AH77" s="110">
        <f t="shared" si="258"/>
        <v>0</v>
      </c>
      <c r="AI77" s="129">
        <f t="shared" si="259"/>
        <v>246</v>
      </c>
      <c r="AJ77" s="110">
        <f t="shared" si="260"/>
        <v>0</v>
      </c>
      <c r="AM77" s="110">
        <f t="shared" si="261"/>
        <v>739.43</v>
      </c>
      <c r="AN77" s="110">
        <f t="shared" si="262"/>
        <v>0</v>
      </c>
      <c r="AQ77" s="110">
        <f t="shared" si="263"/>
        <v>1478.4299999999998</v>
      </c>
      <c r="AR77" s="110">
        <f t="shared" si="264"/>
        <v>0</v>
      </c>
      <c r="AU77" s="110">
        <f t="shared" si="244"/>
        <v>739.43</v>
      </c>
      <c r="AV77" s="110">
        <f t="shared" si="136"/>
        <v>0</v>
      </c>
      <c r="AY77" s="110">
        <f t="shared" si="245"/>
        <v>2463.8599999999997</v>
      </c>
      <c r="AZ77" s="110">
        <f t="shared" si="246"/>
        <v>0</v>
      </c>
      <c r="BA77" s="110">
        <f t="shared" si="247"/>
        <v>2463.8599999999997</v>
      </c>
      <c r="BB77" s="142">
        <v>2071.69</v>
      </c>
      <c r="BD77" s="142">
        <f t="shared" si="248"/>
        <v>392.16999999999962</v>
      </c>
      <c r="BE77" s="142">
        <f t="shared" si="249"/>
        <v>0</v>
      </c>
      <c r="BF77" s="142">
        <f t="shared" si="250"/>
        <v>414.34</v>
      </c>
      <c r="BG77" s="142">
        <f t="shared" si="251"/>
        <v>0</v>
      </c>
      <c r="BH77" s="110">
        <v>11.09</v>
      </c>
      <c r="BI77" s="110">
        <v>0</v>
      </c>
      <c r="BL77" s="110">
        <f t="shared" si="271"/>
        <v>2474.9499999999998</v>
      </c>
      <c r="BM77" s="110">
        <f t="shared" si="272"/>
        <v>0</v>
      </c>
      <c r="BN77" s="110">
        <f t="shared" si="273"/>
        <v>2474.9499999999998</v>
      </c>
      <c r="BO77" s="171">
        <v>2318.4299999999998</v>
      </c>
      <c r="BP77" s="129"/>
      <c r="BQ77" s="110">
        <f t="shared" si="274"/>
        <v>156.51999999999998</v>
      </c>
      <c r="BR77" s="110">
        <f t="shared" si="275"/>
        <v>0</v>
      </c>
      <c r="BS77" s="110">
        <f t="shared" si="276"/>
        <v>210.77</v>
      </c>
      <c r="BT77" s="110">
        <f t="shared" si="277"/>
        <v>0</v>
      </c>
      <c r="BU77" s="110">
        <v>100</v>
      </c>
      <c r="BV77" s="110">
        <f t="shared" ref="BV77:BV88" si="329">ROUND(BT77-BR77,2)</f>
        <v>0</v>
      </c>
      <c r="BW77" s="110">
        <v>596</v>
      </c>
      <c r="CA77" s="110">
        <f t="shared" si="278"/>
        <v>3170.95</v>
      </c>
      <c r="CB77" s="110">
        <f t="shared" si="279"/>
        <v>0</v>
      </c>
    </row>
    <row r="78" spans="1:80" ht="18" x14ac:dyDescent="0.3">
      <c r="A78" s="13">
        <v>59</v>
      </c>
      <c r="B78" s="13"/>
      <c r="C78" s="14"/>
      <c r="D78" s="15" t="s">
        <v>112</v>
      </c>
      <c r="E78" s="16"/>
      <c r="F78" s="82">
        <v>0</v>
      </c>
      <c r="G78" s="82">
        <v>0</v>
      </c>
      <c r="H78" s="82">
        <v>0</v>
      </c>
      <c r="I78" s="17">
        <v>0</v>
      </c>
      <c r="J78" s="87">
        <v>0</v>
      </c>
      <c r="K78" s="88">
        <v>0</v>
      </c>
      <c r="L78" s="88">
        <v>0</v>
      </c>
      <c r="M78" s="88">
        <f t="shared" si="194"/>
        <v>0</v>
      </c>
      <c r="N78" s="88">
        <v>0</v>
      </c>
      <c r="O78" s="88">
        <v>0</v>
      </c>
      <c r="P78" s="88">
        <v>0</v>
      </c>
      <c r="Q78" s="88">
        <f t="shared" si="320"/>
        <v>0</v>
      </c>
      <c r="R78" s="88">
        <f t="shared" si="99"/>
        <v>0</v>
      </c>
      <c r="S78" s="88">
        <v>0</v>
      </c>
      <c r="V78" s="17">
        <f t="shared" si="325"/>
        <v>0</v>
      </c>
      <c r="W78" s="17">
        <f t="shared" si="326"/>
        <v>0</v>
      </c>
      <c r="X78" s="110">
        <f t="shared" si="252"/>
        <v>0</v>
      </c>
      <c r="Y78" s="110">
        <f t="shared" si="253"/>
        <v>0</v>
      </c>
      <c r="Z78" s="110"/>
      <c r="AA78" s="110"/>
      <c r="AB78" s="110">
        <f t="shared" si="254"/>
        <v>0</v>
      </c>
      <c r="AC78" s="111">
        <f t="shared" si="255"/>
        <v>0</v>
      </c>
      <c r="AD78" s="110">
        <f t="shared" si="327"/>
        <v>0</v>
      </c>
      <c r="AE78" s="110">
        <f t="shared" si="328"/>
        <v>0</v>
      </c>
      <c r="AF78" s="110">
        <f t="shared" si="256"/>
        <v>0</v>
      </c>
      <c r="AG78" s="110">
        <f t="shared" si="257"/>
        <v>0</v>
      </c>
      <c r="AH78" s="110">
        <f t="shared" si="258"/>
        <v>0</v>
      </c>
      <c r="AI78" s="129">
        <f t="shared" si="259"/>
        <v>0</v>
      </c>
      <c r="AJ78" s="110">
        <f t="shared" si="260"/>
        <v>0</v>
      </c>
      <c r="AM78" s="110">
        <f t="shared" si="261"/>
        <v>0</v>
      </c>
      <c r="AN78" s="110">
        <f t="shared" si="262"/>
        <v>0</v>
      </c>
      <c r="AQ78" s="110">
        <f t="shared" si="263"/>
        <v>0</v>
      </c>
      <c r="AR78" s="110">
        <f t="shared" si="264"/>
        <v>0</v>
      </c>
      <c r="AU78" s="110">
        <f t="shared" si="244"/>
        <v>0</v>
      </c>
      <c r="AV78" s="110">
        <f t="shared" si="136"/>
        <v>0</v>
      </c>
      <c r="AY78" s="110">
        <f t="shared" si="245"/>
        <v>0</v>
      </c>
      <c r="AZ78" s="110">
        <f t="shared" si="246"/>
        <v>0</v>
      </c>
      <c r="BA78" s="110">
        <f t="shared" si="247"/>
        <v>0</v>
      </c>
      <c r="BB78" s="142">
        <v>0</v>
      </c>
      <c r="BD78" s="142">
        <f t="shared" si="248"/>
        <v>0</v>
      </c>
      <c r="BE78" s="142">
        <f t="shared" si="249"/>
        <v>0</v>
      </c>
      <c r="BF78" s="142">
        <f t="shared" si="250"/>
        <v>0</v>
      </c>
      <c r="BG78" s="142">
        <f t="shared" si="251"/>
        <v>0</v>
      </c>
      <c r="BH78" s="110">
        <v>0</v>
      </c>
      <c r="BI78" s="110">
        <v>0</v>
      </c>
      <c r="BL78" s="110">
        <f t="shared" si="271"/>
        <v>0</v>
      </c>
      <c r="BM78" s="110">
        <f t="shared" si="272"/>
        <v>0</v>
      </c>
      <c r="BN78" s="110">
        <f t="shared" si="273"/>
        <v>0</v>
      </c>
      <c r="BO78" s="110">
        <f t="shared" ref="BO78" si="330">+BJ78+BA78+BL78</f>
        <v>0</v>
      </c>
      <c r="BP78" s="129">
        <f t="shared" ref="BP78" si="331">+BK78+BB78+BM78</f>
        <v>0</v>
      </c>
      <c r="BQ78" s="110">
        <f t="shared" si="274"/>
        <v>0</v>
      </c>
      <c r="BR78" s="110">
        <f t="shared" si="275"/>
        <v>0</v>
      </c>
      <c r="BS78" s="110">
        <f t="shared" si="276"/>
        <v>0</v>
      </c>
      <c r="BT78" s="110">
        <f t="shared" si="277"/>
        <v>0</v>
      </c>
      <c r="BU78" s="110">
        <f t="shared" si="287"/>
        <v>0</v>
      </c>
      <c r="BV78" s="110">
        <f t="shared" si="329"/>
        <v>0</v>
      </c>
      <c r="CA78" s="110">
        <f t="shared" si="278"/>
        <v>0</v>
      </c>
      <c r="CB78" s="110">
        <f t="shared" si="279"/>
        <v>0</v>
      </c>
    </row>
    <row r="79" spans="1:80" ht="18" x14ac:dyDescent="0.3">
      <c r="A79" s="18"/>
      <c r="B79" s="18" t="s">
        <v>113</v>
      </c>
      <c r="C79" s="19" t="s">
        <v>89</v>
      </c>
      <c r="D79" s="20" t="s">
        <v>110</v>
      </c>
      <c r="E79" s="21" t="s">
        <v>114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9">
        <f t="shared" ref="J79:AA79" si="332">+J76+J77+J78</f>
        <v>6232.0300000000007</v>
      </c>
      <c r="K79" s="89">
        <f t="shared" si="332"/>
        <v>265</v>
      </c>
      <c r="L79" s="89">
        <f t="shared" si="332"/>
        <v>0</v>
      </c>
      <c r="M79" s="89">
        <f t="shared" si="332"/>
        <v>6497.0300000000007</v>
      </c>
      <c r="N79" s="89">
        <f t="shared" si="332"/>
        <v>363.97</v>
      </c>
      <c r="O79" s="89">
        <f t="shared" si="332"/>
        <v>0</v>
      </c>
      <c r="P79" s="89">
        <f t="shared" si="332"/>
        <v>0</v>
      </c>
      <c r="Q79" s="89">
        <f t="shared" si="332"/>
        <v>363.97</v>
      </c>
      <c r="R79" s="89">
        <f t="shared" si="332"/>
        <v>6861</v>
      </c>
      <c r="S79" s="89">
        <f t="shared" si="332"/>
        <v>300</v>
      </c>
      <c r="T79" s="89">
        <f t="shared" si="332"/>
        <v>0</v>
      </c>
      <c r="U79" s="89">
        <f t="shared" si="332"/>
        <v>0</v>
      </c>
      <c r="V79" s="89">
        <f t="shared" si="332"/>
        <v>5823.67</v>
      </c>
      <c r="W79" s="89">
        <f t="shared" si="332"/>
        <v>345.69</v>
      </c>
      <c r="X79" s="89">
        <f t="shared" si="332"/>
        <v>1037.3300000000004</v>
      </c>
      <c r="Y79" s="89">
        <f t="shared" si="332"/>
        <v>-45.69</v>
      </c>
      <c r="Z79" s="89">
        <f t="shared" si="332"/>
        <v>5573.67</v>
      </c>
      <c r="AA79" s="89">
        <f t="shared" si="332"/>
        <v>250</v>
      </c>
      <c r="AB79" s="22">
        <f t="shared" si="254"/>
        <v>5823.67</v>
      </c>
      <c r="AC79" s="111">
        <f t="shared" si="255"/>
        <v>0</v>
      </c>
      <c r="AD79" s="22">
        <f t="shared" ref="AD79:CB79" si="333">+AD76+AD77+AD78</f>
        <v>5823.67</v>
      </c>
      <c r="AE79" s="22">
        <f t="shared" si="333"/>
        <v>300</v>
      </c>
      <c r="AF79" s="22">
        <f t="shared" si="333"/>
        <v>270.66000000000003</v>
      </c>
      <c r="AG79" s="22">
        <f t="shared" si="333"/>
        <v>1455</v>
      </c>
      <c r="AH79" s="22">
        <f t="shared" si="333"/>
        <v>75</v>
      </c>
      <c r="AI79" s="120">
        <f t="shared" si="333"/>
        <v>485</v>
      </c>
      <c r="AJ79" s="22">
        <f t="shared" si="333"/>
        <v>25</v>
      </c>
      <c r="AK79" s="22">
        <f t="shared" si="333"/>
        <v>0</v>
      </c>
      <c r="AL79" s="22">
        <f t="shared" si="333"/>
        <v>0</v>
      </c>
      <c r="AM79" s="22">
        <f t="shared" si="333"/>
        <v>1455.92</v>
      </c>
      <c r="AN79" s="22">
        <f t="shared" si="333"/>
        <v>73.05</v>
      </c>
      <c r="AO79" s="22">
        <f t="shared" si="333"/>
        <v>0</v>
      </c>
      <c r="AP79" s="22">
        <f t="shared" si="333"/>
        <v>0</v>
      </c>
      <c r="AQ79" s="22">
        <f t="shared" si="333"/>
        <v>2910.92</v>
      </c>
      <c r="AR79" s="22">
        <f t="shared" si="333"/>
        <v>148.05000000000001</v>
      </c>
      <c r="AS79" s="22">
        <f t="shared" si="333"/>
        <v>0</v>
      </c>
      <c r="AT79" s="22">
        <f t="shared" si="333"/>
        <v>0</v>
      </c>
      <c r="AU79" s="22">
        <f t="shared" si="333"/>
        <v>1455.92</v>
      </c>
      <c r="AV79" s="22">
        <f t="shared" si="333"/>
        <v>75</v>
      </c>
      <c r="AW79" s="22">
        <f t="shared" si="333"/>
        <v>0</v>
      </c>
      <c r="AX79" s="22">
        <f t="shared" si="333"/>
        <v>0</v>
      </c>
      <c r="AY79" s="22">
        <f t="shared" si="333"/>
        <v>4851.84</v>
      </c>
      <c r="AZ79" s="22">
        <f t="shared" si="333"/>
        <v>248.05</v>
      </c>
      <c r="BA79" s="22">
        <f t="shared" si="333"/>
        <v>5099.8899999999994</v>
      </c>
      <c r="BB79" s="22">
        <f t="shared" si="333"/>
        <v>4333.82</v>
      </c>
      <c r="BC79" s="22">
        <f t="shared" si="333"/>
        <v>283.75</v>
      </c>
      <c r="BD79" s="22">
        <f t="shared" si="333"/>
        <v>518.01999999999953</v>
      </c>
      <c r="BE79" s="22">
        <f t="shared" si="333"/>
        <v>-35.699999999999989</v>
      </c>
      <c r="BF79" s="22">
        <f t="shared" si="333"/>
        <v>866.77</v>
      </c>
      <c r="BG79" s="120">
        <f t="shared" si="333"/>
        <v>56.75</v>
      </c>
      <c r="BH79" s="120">
        <f t="shared" si="333"/>
        <v>174.38</v>
      </c>
      <c r="BI79" s="120">
        <f t="shared" si="333"/>
        <v>32.5</v>
      </c>
      <c r="BJ79" s="120">
        <f t="shared" si="333"/>
        <v>0</v>
      </c>
      <c r="BK79" s="120">
        <f t="shared" si="333"/>
        <v>0</v>
      </c>
      <c r="BL79" s="120">
        <f t="shared" si="333"/>
        <v>5026.2199999999993</v>
      </c>
      <c r="BM79" s="120">
        <f t="shared" si="333"/>
        <v>280.55</v>
      </c>
      <c r="BN79" s="120">
        <f t="shared" si="333"/>
        <v>5306.77</v>
      </c>
      <c r="BO79" s="120">
        <f t="shared" si="333"/>
        <v>4836.08</v>
      </c>
      <c r="BP79" s="120">
        <f t="shared" si="333"/>
        <v>312.14</v>
      </c>
      <c r="BQ79" s="22">
        <f t="shared" si="333"/>
        <v>190.13999999999987</v>
      </c>
      <c r="BR79" s="22">
        <f t="shared" si="333"/>
        <v>-31.589999999999975</v>
      </c>
      <c r="BS79" s="22">
        <f t="shared" si="333"/>
        <v>439.65</v>
      </c>
      <c r="BT79" s="22">
        <f t="shared" si="333"/>
        <v>28.38</v>
      </c>
      <c r="BU79" s="22">
        <f t="shared" si="333"/>
        <v>295.2600000000001</v>
      </c>
      <c r="BV79" s="22">
        <f t="shared" si="333"/>
        <v>39.97</v>
      </c>
      <c r="BW79" s="22">
        <f t="shared" si="333"/>
        <v>632.79</v>
      </c>
      <c r="BX79" s="22">
        <f t="shared" si="333"/>
        <v>27.48</v>
      </c>
      <c r="BY79" s="22">
        <f t="shared" si="333"/>
        <v>0</v>
      </c>
      <c r="BZ79" s="22">
        <f t="shared" si="333"/>
        <v>0</v>
      </c>
      <c r="CA79" s="22">
        <f t="shared" si="333"/>
        <v>5954.27</v>
      </c>
      <c r="CB79" s="22">
        <f t="shared" si="333"/>
        <v>348</v>
      </c>
    </row>
    <row r="80" spans="1:80" ht="18" x14ac:dyDescent="0.3">
      <c r="A80" s="13">
        <v>60</v>
      </c>
      <c r="B80" s="13"/>
      <c r="C80" s="14"/>
      <c r="D80" s="15" t="s">
        <v>115</v>
      </c>
      <c r="E80" s="16"/>
      <c r="F80" s="82">
        <v>1931.0300000000002</v>
      </c>
      <c r="G80" s="82">
        <v>206.2</v>
      </c>
      <c r="H80" s="82">
        <v>1956.0000000000002</v>
      </c>
      <c r="I80" s="17">
        <v>206.2</v>
      </c>
      <c r="J80" s="87">
        <v>2300.6</v>
      </c>
      <c r="K80" s="88">
        <v>0</v>
      </c>
      <c r="L80" s="88">
        <v>0</v>
      </c>
      <c r="M80" s="88">
        <f t="shared" si="194"/>
        <v>2300.6</v>
      </c>
      <c r="N80" s="88">
        <v>0</v>
      </c>
      <c r="O80" s="88">
        <v>0</v>
      </c>
      <c r="P80" s="88">
        <v>0</v>
      </c>
      <c r="Q80" s="88">
        <f t="shared" ref="Q80:Q84" si="334">N80+O80+P80</f>
        <v>0</v>
      </c>
      <c r="R80" s="88">
        <f t="shared" si="99"/>
        <v>2300.6</v>
      </c>
      <c r="S80" s="88">
        <v>180</v>
      </c>
      <c r="V80" s="17">
        <f t="shared" ref="V80" si="335">ROUND(H80*1.0583,2)</f>
        <v>2070.0300000000002</v>
      </c>
      <c r="W80" s="17">
        <f t="shared" ref="W80" si="336">ROUND(I80*1.0327,2)</f>
        <v>212.94</v>
      </c>
      <c r="X80" s="110">
        <f t="shared" si="252"/>
        <v>230.56999999999971</v>
      </c>
      <c r="Y80" s="111">
        <f t="shared" si="253"/>
        <v>-32.94</v>
      </c>
      <c r="Z80" s="118">
        <v>2070.0300000000002</v>
      </c>
      <c r="AA80" s="118"/>
      <c r="AB80" s="118">
        <f t="shared" si="254"/>
        <v>2070.0300000000002</v>
      </c>
      <c r="AC80" s="111">
        <f t="shared" si="255"/>
        <v>0</v>
      </c>
      <c r="AD80" s="110">
        <f t="shared" ref="AD80" si="337">IF(X80&gt;0,V80,R80)</f>
        <v>2070.0300000000002</v>
      </c>
      <c r="AE80" s="110">
        <f t="shared" ref="AE80" si="338">IF(Y80&gt;0,W80,S80)</f>
        <v>180</v>
      </c>
      <c r="AF80" s="110">
        <f t="shared" si="256"/>
        <v>162.4</v>
      </c>
      <c r="AG80" s="110">
        <f t="shared" si="257"/>
        <v>518</v>
      </c>
      <c r="AH80" s="110">
        <f t="shared" si="258"/>
        <v>45</v>
      </c>
      <c r="AI80" s="129">
        <f t="shared" si="259"/>
        <v>173</v>
      </c>
      <c r="AJ80" s="110">
        <f t="shared" si="260"/>
        <v>15</v>
      </c>
      <c r="AM80" s="110">
        <f t="shared" si="261"/>
        <v>517.51</v>
      </c>
      <c r="AN80" s="110">
        <f t="shared" si="262"/>
        <v>43.83</v>
      </c>
      <c r="AQ80" s="110">
        <f t="shared" si="263"/>
        <v>1035.51</v>
      </c>
      <c r="AR80" s="141">
        <f t="shared" si="264"/>
        <v>88.83</v>
      </c>
      <c r="AS80" s="141"/>
      <c r="AT80" s="145">
        <v>45</v>
      </c>
      <c r="AU80" s="141">
        <f t="shared" si="244"/>
        <v>517.51</v>
      </c>
      <c r="AV80" s="110">
        <f>ROUND(AE80*25%,2)-13.83</f>
        <v>31.17</v>
      </c>
      <c r="AY80" s="110">
        <f t="shared" si="245"/>
        <v>1726.02</v>
      </c>
      <c r="AZ80" s="110">
        <f t="shared" si="246"/>
        <v>180</v>
      </c>
      <c r="BA80" s="110">
        <f t="shared" si="247"/>
        <v>1906.02</v>
      </c>
      <c r="BB80" s="142">
        <v>1777.57</v>
      </c>
      <c r="BC80" s="142">
        <v>165.47</v>
      </c>
      <c r="BD80" s="142">
        <f t="shared" si="248"/>
        <v>-51.549999999999955</v>
      </c>
      <c r="BE80" s="142">
        <f t="shared" si="249"/>
        <v>14.530000000000001</v>
      </c>
      <c r="BF80" s="142">
        <f t="shared" si="250"/>
        <v>355.51</v>
      </c>
      <c r="BG80" s="142">
        <f t="shared" si="251"/>
        <v>33.090000000000003</v>
      </c>
      <c r="BH80" s="110">
        <v>172.03</v>
      </c>
      <c r="BI80" s="110">
        <v>9.2799999999999994</v>
      </c>
      <c r="BL80" s="110">
        <f t="shared" si="271"/>
        <v>1898.05</v>
      </c>
      <c r="BM80" s="110">
        <f t="shared" si="272"/>
        <v>189.28</v>
      </c>
      <c r="BN80" s="110">
        <f t="shared" si="273"/>
        <v>2087.33</v>
      </c>
      <c r="BO80" s="110">
        <v>1963.45</v>
      </c>
      <c r="BP80" s="129">
        <v>185.21</v>
      </c>
      <c r="BQ80" s="110">
        <f t="shared" si="274"/>
        <v>-65.400000000000091</v>
      </c>
      <c r="BR80" s="110">
        <f t="shared" si="275"/>
        <v>4.0699999999999932</v>
      </c>
      <c r="BS80" s="110">
        <f t="shared" si="276"/>
        <v>178.5</v>
      </c>
      <c r="BT80" s="110">
        <f t="shared" si="277"/>
        <v>16.84</v>
      </c>
      <c r="BU80" s="110">
        <f t="shared" si="287"/>
        <v>243.90000000000009</v>
      </c>
      <c r="BV80" s="110">
        <v>60</v>
      </c>
      <c r="BW80" s="111">
        <v>18.05</v>
      </c>
      <c r="BX80" s="110">
        <f>10.7+0.02</f>
        <v>10.719999999999999</v>
      </c>
      <c r="CA80" s="110">
        <f t="shared" si="278"/>
        <v>2160</v>
      </c>
      <c r="CB80" s="110">
        <f t="shared" si="279"/>
        <v>260</v>
      </c>
    </row>
    <row r="81" spans="1:80" ht="18" x14ac:dyDescent="0.3">
      <c r="A81" s="13">
        <v>61</v>
      </c>
      <c r="B81" s="13"/>
      <c r="C81" s="14"/>
      <c r="D81" s="15" t="s">
        <v>116</v>
      </c>
      <c r="E81" s="16"/>
      <c r="F81" s="82">
        <v>1278.4100000000001</v>
      </c>
      <c r="G81" s="82">
        <v>0</v>
      </c>
      <c r="H81" s="82">
        <v>1435.15</v>
      </c>
      <c r="I81" s="17">
        <v>0</v>
      </c>
      <c r="J81" s="87">
        <v>1615</v>
      </c>
      <c r="K81" s="88">
        <v>0</v>
      </c>
      <c r="L81" s="88">
        <v>0</v>
      </c>
      <c r="M81" s="88">
        <f t="shared" si="194"/>
        <v>1615</v>
      </c>
      <c r="N81" s="88">
        <v>65</v>
      </c>
      <c r="O81" s="88">
        <v>0</v>
      </c>
      <c r="P81" s="88">
        <v>0</v>
      </c>
      <c r="Q81" s="88">
        <f t="shared" si="334"/>
        <v>65</v>
      </c>
      <c r="R81" s="88">
        <f t="shared" si="99"/>
        <v>1680</v>
      </c>
      <c r="S81" s="88">
        <v>0</v>
      </c>
      <c r="V81" s="17">
        <f t="shared" ref="V81" si="339">ROUND(H81*1.0583,2)</f>
        <v>1518.82</v>
      </c>
      <c r="W81" s="17">
        <f t="shared" ref="W81" si="340">ROUND(I81*1.0327,2)</f>
        <v>0</v>
      </c>
      <c r="X81" s="110">
        <f t="shared" si="252"/>
        <v>161.18000000000006</v>
      </c>
      <c r="Y81" s="110">
        <f t="shared" si="253"/>
        <v>0</v>
      </c>
      <c r="Z81" s="118">
        <v>1468.82</v>
      </c>
      <c r="AA81" s="118">
        <v>50</v>
      </c>
      <c r="AB81" s="110">
        <f t="shared" si="254"/>
        <v>1518.82</v>
      </c>
      <c r="AC81" s="111">
        <f t="shared" si="255"/>
        <v>0</v>
      </c>
      <c r="AD81" s="110">
        <f t="shared" ref="AD81" si="341">IF(X81&gt;0,V81,R81)</f>
        <v>1518.82</v>
      </c>
      <c r="AE81" s="110">
        <f t="shared" ref="AE81" si="342">IF(Y81&gt;0,W81,S81)</f>
        <v>0</v>
      </c>
      <c r="AF81" s="110">
        <f t="shared" si="256"/>
        <v>0</v>
      </c>
      <c r="AG81" s="110">
        <f t="shared" si="257"/>
        <v>380</v>
      </c>
      <c r="AH81" s="110">
        <f t="shared" si="258"/>
        <v>0</v>
      </c>
      <c r="AI81" s="129">
        <f t="shared" si="259"/>
        <v>127</v>
      </c>
      <c r="AJ81" s="110">
        <f t="shared" si="260"/>
        <v>0</v>
      </c>
      <c r="AM81" s="110">
        <f t="shared" si="261"/>
        <v>379.71</v>
      </c>
      <c r="AN81" s="110">
        <f t="shared" si="262"/>
        <v>0</v>
      </c>
      <c r="AQ81" s="110">
        <f t="shared" si="263"/>
        <v>759.71</v>
      </c>
      <c r="AR81" s="110">
        <f t="shared" si="264"/>
        <v>0</v>
      </c>
      <c r="AU81" s="110">
        <f t="shared" si="244"/>
        <v>379.71</v>
      </c>
      <c r="AV81" s="110">
        <f t="shared" si="136"/>
        <v>0</v>
      </c>
      <c r="AY81" s="110">
        <f t="shared" si="245"/>
        <v>1266.42</v>
      </c>
      <c r="AZ81" s="110">
        <f t="shared" si="246"/>
        <v>0</v>
      </c>
      <c r="BA81" s="110">
        <f t="shared" si="247"/>
        <v>1266.42</v>
      </c>
      <c r="BB81" s="142">
        <v>1205.5</v>
      </c>
      <c r="BD81" s="142">
        <f t="shared" si="248"/>
        <v>60.920000000000073</v>
      </c>
      <c r="BE81" s="142">
        <f t="shared" si="249"/>
        <v>0</v>
      </c>
      <c r="BF81" s="142">
        <f t="shared" si="250"/>
        <v>241.1</v>
      </c>
      <c r="BG81" s="142">
        <f t="shared" si="251"/>
        <v>0</v>
      </c>
      <c r="BH81" s="110">
        <v>90.09</v>
      </c>
      <c r="BI81" s="110">
        <v>0</v>
      </c>
      <c r="BL81" s="110">
        <f t="shared" si="271"/>
        <v>1356.51</v>
      </c>
      <c r="BM81" s="110">
        <f t="shared" si="272"/>
        <v>0</v>
      </c>
      <c r="BN81" s="110">
        <f t="shared" si="273"/>
        <v>1356.51</v>
      </c>
      <c r="BO81" s="110">
        <v>1211.5</v>
      </c>
      <c r="BP81" s="129"/>
      <c r="BQ81" s="110">
        <f t="shared" si="274"/>
        <v>145.01</v>
      </c>
      <c r="BR81" s="110">
        <f t="shared" si="275"/>
        <v>0</v>
      </c>
      <c r="BS81" s="110">
        <f t="shared" si="276"/>
        <v>110.14</v>
      </c>
      <c r="BT81" s="110">
        <f t="shared" si="277"/>
        <v>0</v>
      </c>
      <c r="BU81" s="110">
        <f t="shared" si="287"/>
        <v>-34.86999999999999</v>
      </c>
      <c r="BV81" s="110">
        <f t="shared" si="329"/>
        <v>0</v>
      </c>
      <c r="BW81" s="111">
        <f>197.18+126</f>
        <v>323.18</v>
      </c>
      <c r="CA81" s="110">
        <f t="shared" si="278"/>
        <v>1644.8200000000002</v>
      </c>
      <c r="CB81" s="110">
        <f t="shared" si="279"/>
        <v>0</v>
      </c>
    </row>
    <row r="82" spans="1:80" ht="18" x14ac:dyDescent="0.3">
      <c r="A82" s="23"/>
      <c r="B82" s="23" t="s">
        <v>117</v>
      </c>
      <c r="C82" s="24" t="s">
        <v>118</v>
      </c>
      <c r="D82" s="25" t="s">
        <v>115</v>
      </c>
      <c r="E82" s="26" t="s">
        <v>119</v>
      </c>
      <c r="F82" s="43">
        <v>3209.4400000000005</v>
      </c>
      <c r="G82" s="43">
        <v>206.2</v>
      </c>
      <c r="H82" s="43">
        <v>3391.1500000000005</v>
      </c>
      <c r="I82" s="43">
        <v>206.2</v>
      </c>
      <c r="J82" s="93">
        <f t="shared" ref="J82:AA82" si="343">+J80+J81</f>
        <v>3915.6</v>
      </c>
      <c r="K82" s="93">
        <f t="shared" si="343"/>
        <v>0</v>
      </c>
      <c r="L82" s="93">
        <f t="shared" si="343"/>
        <v>0</v>
      </c>
      <c r="M82" s="93">
        <f t="shared" si="343"/>
        <v>3915.6</v>
      </c>
      <c r="N82" s="93">
        <f t="shared" si="343"/>
        <v>65</v>
      </c>
      <c r="O82" s="93">
        <f t="shared" si="343"/>
        <v>0</v>
      </c>
      <c r="P82" s="93">
        <f t="shared" si="343"/>
        <v>0</v>
      </c>
      <c r="Q82" s="93">
        <f t="shared" si="343"/>
        <v>65</v>
      </c>
      <c r="R82" s="93">
        <f t="shared" si="343"/>
        <v>3980.6</v>
      </c>
      <c r="S82" s="93">
        <f t="shared" si="343"/>
        <v>180</v>
      </c>
      <c r="T82" s="93">
        <f t="shared" si="343"/>
        <v>0</v>
      </c>
      <c r="U82" s="93">
        <f t="shared" si="343"/>
        <v>0</v>
      </c>
      <c r="V82" s="93">
        <f t="shared" si="343"/>
        <v>3588.8500000000004</v>
      </c>
      <c r="W82" s="93">
        <f t="shared" si="343"/>
        <v>212.94</v>
      </c>
      <c r="X82" s="93">
        <f t="shared" si="343"/>
        <v>391.74999999999977</v>
      </c>
      <c r="Y82" s="93">
        <f t="shared" si="343"/>
        <v>-32.94</v>
      </c>
      <c r="Z82" s="93">
        <f t="shared" si="343"/>
        <v>3538.8500000000004</v>
      </c>
      <c r="AA82" s="93">
        <f t="shared" si="343"/>
        <v>50</v>
      </c>
      <c r="AB82" s="43">
        <f t="shared" si="254"/>
        <v>3588.8500000000004</v>
      </c>
      <c r="AC82" s="111">
        <f t="shared" si="255"/>
        <v>0</v>
      </c>
      <c r="AD82" s="43">
        <f t="shared" ref="AD82:CB82" si="344">+AD80+AD81</f>
        <v>3588.8500000000004</v>
      </c>
      <c r="AE82" s="43">
        <f t="shared" si="344"/>
        <v>180</v>
      </c>
      <c r="AF82" s="43">
        <f t="shared" si="344"/>
        <v>162.4</v>
      </c>
      <c r="AG82" s="43">
        <f t="shared" si="344"/>
        <v>898</v>
      </c>
      <c r="AH82" s="43">
        <f t="shared" si="344"/>
        <v>45</v>
      </c>
      <c r="AI82" s="131">
        <f t="shared" si="344"/>
        <v>300</v>
      </c>
      <c r="AJ82" s="43">
        <f t="shared" si="344"/>
        <v>15</v>
      </c>
      <c r="AK82" s="43">
        <f t="shared" si="344"/>
        <v>0</v>
      </c>
      <c r="AL82" s="43">
        <f t="shared" si="344"/>
        <v>0</v>
      </c>
      <c r="AM82" s="43">
        <f t="shared" si="344"/>
        <v>897.22</v>
      </c>
      <c r="AN82" s="43">
        <f t="shared" si="344"/>
        <v>43.83</v>
      </c>
      <c r="AO82" s="43">
        <f t="shared" si="344"/>
        <v>0</v>
      </c>
      <c r="AP82" s="43">
        <f t="shared" si="344"/>
        <v>0</v>
      </c>
      <c r="AQ82" s="43">
        <f t="shared" si="344"/>
        <v>1795.22</v>
      </c>
      <c r="AR82" s="43">
        <f t="shared" si="344"/>
        <v>88.83</v>
      </c>
      <c r="AS82" s="43">
        <f t="shared" si="344"/>
        <v>0</v>
      </c>
      <c r="AT82" s="43">
        <f t="shared" si="344"/>
        <v>45</v>
      </c>
      <c r="AU82" s="43">
        <f t="shared" si="344"/>
        <v>897.22</v>
      </c>
      <c r="AV82" s="43">
        <f t="shared" si="344"/>
        <v>31.17</v>
      </c>
      <c r="AW82" s="43">
        <f t="shared" si="344"/>
        <v>0</v>
      </c>
      <c r="AX82" s="43">
        <f t="shared" si="344"/>
        <v>0</v>
      </c>
      <c r="AY82" s="43">
        <f t="shared" si="344"/>
        <v>2992.44</v>
      </c>
      <c r="AZ82" s="43">
        <f t="shared" si="344"/>
        <v>180</v>
      </c>
      <c r="BA82" s="43">
        <f t="shared" si="344"/>
        <v>3172.44</v>
      </c>
      <c r="BB82" s="43">
        <f t="shared" si="344"/>
        <v>2983.0699999999997</v>
      </c>
      <c r="BC82" s="43">
        <f t="shared" si="344"/>
        <v>165.47</v>
      </c>
      <c r="BD82" s="43">
        <f t="shared" si="344"/>
        <v>9.3700000000001182</v>
      </c>
      <c r="BE82" s="43">
        <f t="shared" si="344"/>
        <v>14.530000000000001</v>
      </c>
      <c r="BF82" s="43">
        <f t="shared" si="344"/>
        <v>596.61</v>
      </c>
      <c r="BG82" s="131">
        <f t="shared" si="344"/>
        <v>33.090000000000003</v>
      </c>
      <c r="BH82" s="131">
        <f t="shared" si="344"/>
        <v>262.12</v>
      </c>
      <c r="BI82" s="131">
        <f t="shared" si="344"/>
        <v>9.2799999999999994</v>
      </c>
      <c r="BJ82" s="131">
        <f t="shared" si="344"/>
        <v>0</v>
      </c>
      <c r="BK82" s="131">
        <f t="shared" si="344"/>
        <v>0</v>
      </c>
      <c r="BL82" s="131">
        <f t="shared" si="344"/>
        <v>3254.56</v>
      </c>
      <c r="BM82" s="131">
        <f t="shared" si="344"/>
        <v>189.28</v>
      </c>
      <c r="BN82" s="131">
        <f t="shared" si="344"/>
        <v>3443.84</v>
      </c>
      <c r="BO82" s="131">
        <f t="shared" si="344"/>
        <v>3174.95</v>
      </c>
      <c r="BP82" s="131">
        <f t="shared" si="344"/>
        <v>185.21</v>
      </c>
      <c r="BQ82" s="43">
        <f t="shared" si="344"/>
        <v>79.6099999999999</v>
      </c>
      <c r="BR82" s="43">
        <f t="shared" si="344"/>
        <v>4.0699999999999932</v>
      </c>
      <c r="BS82" s="43">
        <f t="shared" si="344"/>
        <v>288.64</v>
      </c>
      <c r="BT82" s="43">
        <f t="shared" si="344"/>
        <v>16.84</v>
      </c>
      <c r="BU82" s="43">
        <f t="shared" si="344"/>
        <v>209.03000000000009</v>
      </c>
      <c r="BV82" s="43">
        <f t="shared" si="344"/>
        <v>60</v>
      </c>
      <c r="BW82" s="43">
        <f t="shared" si="344"/>
        <v>341.23</v>
      </c>
      <c r="BX82" s="43">
        <f t="shared" si="344"/>
        <v>10.719999999999999</v>
      </c>
      <c r="BY82" s="43">
        <f t="shared" si="344"/>
        <v>0</v>
      </c>
      <c r="BZ82" s="43">
        <f t="shared" si="344"/>
        <v>0</v>
      </c>
      <c r="CA82" s="43">
        <f t="shared" si="344"/>
        <v>3804.82</v>
      </c>
      <c r="CB82" s="43">
        <f t="shared" si="344"/>
        <v>260</v>
      </c>
    </row>
    <row r="83" spans="1:80" ht="18" x14ac:dyDescent="0.3">
      <c r="A83" s="13">
        <v>62</v>
      </c>
      <c r="B83" s="13"/>
      <c r="C83" s="14"/>
      <c r="D83" s="15" t="s">
        <v>120</v>
      </c>
      <c r="E83" s="16"/>
      <c r="F83" s="82">
        <v>357.6400000000001</v>
      </c>
      <c r="G83" s="82">
        <v>0.12</v>
      </c>
      <c r="H83" s="82">
        <v>357.6400000000001</v>
      </c>
      <c r="I83" s="17">
        <v>0.12</v>
      </c>
      <c r="J83" s="87">
        <v>400</v>
      </c>
      <c r="K83" s="88">
        <v>0</v>
      </c>
      <c r="L83" s="88">
        <v>0</v>
      </c>
      <c r="M83" s="88">
        <f t="shared" si="194"/>
        <v>400</v>
      </c>
      <c r="N83" s="88">
        <v>0</v>
      </c>
      <c r="O83" s="88">
        <v>0</v>
      </c>
      <c r="P83" s="88">
        <v>0</v>
      </c>
      <c r="Q83" s="88">
        <f t="shared" si="334"/>
        <v>0</v>
      </c>
      <c r="R83" s="88">
        <f t="shared" si="99"/>
        <v>400</v>
      </c>
      <c r="S83" s="88">
        <v>0</v>
      </c>
      <c r="V83" s="17">
        <f t="shared" ref="V83" si="345">ROUND(H83*1.0583,2)</f>
        <v>378.49</v>
      </c>
      <c r="W83" s="17">
        <f t="shared" ref="W83" si="346">ROUND(I83*1.0327,2)</f>
        <v>0.12</v>
      </c>
      <c r="X83" s="110">
        <f t="shared" si="252"/>
        <v>21.509999999999991</v>
      </c>
      <c r="Y83" s="111">
        <f t="shared" si="253"/>
        <v>-0.12</v>
      </c>
      <c r="Z83" s="118">
        <v>378.49</v>
      </c>
      <c r="AA83" s="118"/>
      <c r="AB83" s="118">
        <f t="shared" si="254"/>
        <v>378.49</v>
      </c>
      <c r="AC83" s="111">
        <f t="shared" si="255"/>
        <v>0</v>
      </c>
      <c r="AD83" s="110">
        <f t="shared" ref="AD83" si="347">IF(X83&gt;0,V83,R83)</f>
        <v>378.49</v>
      </c>
      <c r="AE83" s="110">
        <f t="shared" ref="AE83" si="348">IF(Y83&gt;0,W83,S83)</f>
        <v>0</v>
      </c>
      <c r="AF83" s="110">
        <f t="shared" si="256"/>
        <v>0</v>
      </c>
      <c r="AG83" s="110">
        <f t="shared" si="257"/>
        <v>95</v>
      </c>
      <c r="AH83" s="110">
        <f t="shared" si="258"/>
        <v>0</v>
      </c>
      <c r="AI83" s="129">
        <f t="shared" si="259"/>
        <v>32</v>
      </c>
      <c r="AJ83" s="110">
        <f t="shared" si="260"/>
        <v>0</v>
      </c>
      <c r="AK83" s="146">
        <v>25</v>
      </c>
      <c r="AM83" s="110">
        <f t="shared" si="261"/>
        <v>94.62</v>
      </c>
      <c r="AN83" s="110">
        <f t="shared" si="262"/>
        <v>0</v>
      </c>
      <c r="AQ83" s="110">
        <f t="shared" si="263"/>
        <v>214.62</v>
      </c>
      <c r="AR83" s="110">
        <f t="shared" si="264"/>
        <v>0</v>
      </c>
      <c r="AS83" s="118">
        <v>10</v>
      </c>
      <c r="AT83" s="118"/>
      <c r="AU83" s="118">
        <f t="shared" si="244"/>
        <v>94.62</v>
      </c>
      <c r="AV83" s="118">
        <f t="shared" si="136"/>
        <v>0</v>
      </c>
      <c r="AW83" s="146">
        <v>25</v>
      </c>
      <c r="AY83" s="110">
        <f t="shared" si="245"/>
        <v>376.24</v>
      </c>
      <c r="AZ83" s="110">
        <f t="shared" si="246"/>
        <v>0</v>
      </c>
      <c r="BA83" s="110">
        <f t="shared" si="247"/>
        <v>376.24</v>
      </c>
      <c r="BB83" s="142">
        <v>371.83</v>
      </c>
      <c r="BD83" s="142">
        <f t="shared" si="248"/>
        <v>4.410000000000025</v>
      </c>
      <c r="BE83" s="142">
        <f t="shared" si="249"/>
        <v>0</v>
      </c>
      <c r="BF83" s="142">
        <f t="shared" si="250"/>
        <v>74.37</v>
      </c>
      <c r="BG83" s="142">
        <f t="shared" si="251"/>
        <v>0</v>
      </c>
      <c r="BH83" s="110">
        <v>39.979999999999997</v>
      </c>
      <c r="BI83" s="110">
        <v>0</v>
      </c>
      <c r="BL83" s="110">
        <f t="shared" si="271"/>
        <v>416.22</v>
      </c>
      <c r="BM83" s="110">
        <f t="shared" si="272"/>
        <v>0</v>
      </c>
      <c r="BN83" s="110">
        <f t="shared" si="273"/>
        <v>416.22</v>
      </c>
      <c r="BO83" s="168">
        <v>408.09</v>
      </c>
      <c r="BP83" s="129">
        <v>0</v>
      </c>
      <c r="BQ83" s="110">
        <f t="shared" si="274"/>
        <v>8.1300000000000523</v>
      </c>
      <c r="BR83" s="110">
        <f t="shared" si="275"/>
        <v>0</v>
      </c>
      <c r="BS83" s="110">
        <f t="shared" si="276"/>
        <v>37.1</v>
      </c>
      <c r="BT83" s="110">
        <f t="shared" si="277"/>
        <v>0</v>
      </c>
      <c r="BU83" s="110">
        <f>ROUND(BS83-BQ83,2)</f>
        <v>28.97</v>
      </c>
      <c r="BV83" s="110">
        <f t="shared" si="329"/>
        <v>0</v>
      </c>
      <c r="BW83" s="111">
        <v>9.5399999999999991</v>
      </c>
      <c r="CA83" s="110">
        <f t="shared" si="278"/>
        <v>454.73000000000008</v>
      </c>
      <c r="CB83" s="110">
        <f t="shared" si="279"/>
        <v>0</v>
      </c>
    </row>
    <row r="84" spans="1:80" ht="31.2" x14ac:dyDescent="0.3">
      <c r="A84" s="13">
        <v>63</v>
      </c>
      <c r="B84" s="13"/>
      <c r="C84" s="14"/>
      <c r="D84" s="148" t="s">
        <v>563</v>
      </c>
      <c r="E84" s="16"/>
      <c r="F84" s="82">
        <v>1864.65</v>
      </c>
      <c r="G84" s="82">
        <v>0</v>
      </c>
      <c r="H84" s="82">
        <v>1864.65</v>
      </c>
      <c r="I84" s="17">
        <v>0</v>
      </c>
      <c r="J84" s="87">
        <v>2522.88</v>
      </c>
      <c r="K84" s="88">
        <v>0</v>
      </c>
      <c r="L84" s="88">
        <v>0</v>
      </c>
      <c r="M84" s="88">
        <f t="shared" si="194"/>
        <v>2522.88</v>
      </c>
      <c r="N84" s="88">
        <v>145</v>
      </c>
      <c r="O84" s="88">
        <v>0</v>
      </c>
      <c r="P84" s="88">
        <v>0</v>
      </c>
      <c r="Q84" s="88">
        <f t="shared" si="334"/>
        <v>145</v>
      </c>
      <c r="R84" s="88">
        <f t="shared" si="99"/>
        <v>2667.88</v>
      </c>
      <c r="S84" s="88">
        <v>0</v>
      </c>
      <c r="V84" s="17">
        <f t="shared" ref="V84" si="349">ROUND(H84*1.0583,2)</f>
        <v>1973.36</v>
      </c>
      <c r="W84" s="17">
        <f t="shared" ref="W84" si="350">ROUND(I84*1.0327,2)</f>
        <v>0</v>
      </c>
      <c r="X84" s="110">
        <f t="shared" si="252"/>
        <v>694.52000000000021</v>
      </c>
      <c r="Y84" s="110">
        <f t="shared" si="253"/>
        <v>0</v>
      </c>
      <c r="Z84" s="118">
        <v>1873.36</v>
      </c>
      <c r="AA84" s="118">
        <v>100</v>
      </c>
      <c r="AB84" s="110">
        <f t="shared" si="254"/>
        <v>1973.36</v>
      </c>
      <c r="AC84" s="111">
        <f t="shared" si="255"/>
        <v>0</v>
      </c>
      <c r="AD84" s="110">
        <v>1973.36</v>
      </c>
      <c r="AE84" s="110">
        <v>0</v>
      </c>
      <c r="AF84" s="110">
        <v>0</v>
      </c>
      <c r="AG84" s="110">
        <v>493</v>
      </c>
      <c r="AH84" s="110">
        <v>0</v>
      </c>
      <c r="AI84" s="129">
        <v>164</v>
      </c>
      <c r="AJ84" s="110">
        <v>0</v>
      </c>
      <c r="AM84" s="110">
        <v>493.34</v>
      </c>
      <c r="AN84" s="110">
        <v>0</v>
      </c>
      <c r="AQ84" s="110">
        <v>986.33999999999992</v>
      </c>
      <c r="AR84" s="110">
        <v>0</v>
      </c>
      <c r="AS84" s="118"/>
      <c r="AT84" s="118"/>
      <c r="AU84" s="118">
        <v>493.34</v>
      </c>
      <c r="AV84" s="118">
        <v>0</v>
      </c>
      <c r="AW84" s="118"/>
      <c r="AY84" s="110">
        <f t="shared" si="245"/>
        <v>1643.6799999999998</v>
      </c>
      <c r="AZ84" s="110">
        <f t="shared" si="246"/>
        <v>0</v>
      </c>
      <c r="BA84" s="110">
        <f t="shared" si="247"/>
        <v>1643.6799999999998</v>
      </c>
      <c r="BB84" s="142">
        <v>1643.68</v>
      </c>
      <c r="BD84" s="142">
        <f t="shared" si="248"/>
        <v>0</v>
      </c>
      <c r="BE84" s="142">
        <f t="shared" si="249"/>
        <v>0</v>
      </c>
      <c r="BF84" s="142">
        <f t="shared" si="250"/>
        <v>328.74</v>
      </c>
      <c r="BG84" s="142">
        <f t="shared" si="251"/>
        <v>0</v>
      </c>
      <c r="BH84" s="110">
        <v>164.37</v>
      </c>
      <c r="BI84" s="110">
        <v>0</v>
      </c>
      <c r="BL84" s="110">
        <f t="shared" si="271"/>
        <v>1808.0499999999997</v>
      </c>
      <c r="BM84" s="110">
        <f t="shared" si="272"/>
        <v>0</v>
      </c>
      <c r="BN84" s="110">
        <f t="shared" si="273"/>
        <v>1808.0499999999997</v>
      </c>
      <c r="BO84" s="168">
        <f>1643.68</f>
        <v>1643.68</v>
      </c>
      <c r="BP84" s="129"/>
      <c r="BQ84" s="110">
        <f t="shared" si="274"/>
        <v>164.36999999999966</v>
      </c>
      <c r="BR84" s="110">
        <f t="shared" si="275"/>
        <v>0</v>
      </c>
      <c r="BS84" s="110">
        <f t="shared" si="276"/>
        <v>149.43</v>
      </c>
      <c r="BT84" s="110">
        <f t="shared" si="277"/>
        <v>0</v>
      </c>
      <c r="BU84" s="110">
        <f>ROUND(BS84-BQ84,2)</f>
        <v>-14.94</v>
      </c>
      <c r="BV84" s="110">
        <f t="shared" si="329"/>
        <v>0</v>
      </c>
      <c r="BW84" s="111">
        <v>241.89</v>
      </c>
      <c r="CA84" s="110">
        <f t="shared" si="278"/>
        <v>2034.9999999999995</v>
      </c>
      <c r="CB84" s="110">
        <f t="shared" si="279"/>
        <v>0</v>
      </c>
    </row>
    <row r="85" spans="1:80" ht="18" x14ac:dyDescent="0.3">
      <c r="A85" s="18"/>
      <c r="B85" s="18" t="s">
        <v>121</v>
      </c>
      <c r="C85" s="19" t="s">
        <v>45</v>
      </c>
      <c r="D85" s="20" t="s">
        <v>120</v>
      </c>
      <c r="E85" s="21" t="s">
        <v>122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9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254"/>
        <v>#REF!</v>
      </c>
      <c r="AC85" s="111" t="e">
        <f t="shared" si="255"/>
        <v>#REF!</v>
      </c>
      <c r="AD85" s="22">
        <f t="shared" ref="AD85" si="351">+AD83+AD84</f>
        <v>2351.85</v>
      </c>
      <c r="AE85" s="22">
        <f t="shared" ref="AE85" si="352">+AE83+AE84</f>
        <v>0</v>
      </c>
      <c r="AF85" s="22">
        <f t="shared" ref="AF85" si="353">+AF83+AF84</f>
        <v>0</v>
      </c>
      <c r="AG85" s="22">
        <f t="shared" ref="AG85" si="354">+AG83+AG84</f>
        <v>588</v>
      </c>
      <c r="AH85" s="22">
        <f t="shared" ref="AH85" si="355">+AH83+AH84</f>
        <v>0</v>
      </c>
      <c r="AI85" s="22">
        <f t="shared" ref="AI85" si="356">+AI83+AI84</f>
        <v>196</v>
      </c>
      <c r="AJ85" s="22">
        <f t="shared" ref="AJ85" si="357">+AJ83+AJ84</f>
        <v>0</v>
      </c>
      <c r="AK85" s="22">
        <f t="shared" ref="AK85" si="358">+AK83+AK84</f>
        <v>25</v>
      </c>
      <c r="AL85" s="22">
        <f t="shared" ref="AL85" si="359">+AL83+AL84</f>
        <v>0</v>
      </c>
      <c r="AM85" s="22">
        <f t="shared" ref="AM85" si="360">+AM83+AM84</f>
        <v>587.96</v>
      </c>
      <c r="AN85" s="22">
        <f t="shared" ref="AN85" si="361">+AN83+AN84</f>
        <v>0</v>
      </c>
      <c r="AO85" s="22">
        <f t="shared" ref="AO85" si="362">+AO83+AO84</f>
        <v>0</v>
      </c>
      <c r="AP85" s="22">
        <f t="shared" ref="AP85" si="363">+AP83+AP84</f>
        <v>0</v>
      </c>
      <c r="AQ85" s="22">
        <f t="shared" ref="AQ85" si="364">+AQ83+AQ84</f>
        <v>1200.96</v>
      </c>
      <c r="AR85" s="22">
        <f t="shared" ref="AR85" si="365">+AR83+AR84</f>
        <v>0</v>
      </c>
      <c r="AS85" s="22">
        <f t="shared" ref="AS85" si="366">+AS83+AS84</f>
        <v>10</v>
      </c>
      <c r="AT85" s="22">
        <f t="shared" ref="AT85" si="367">+AT83+AT84</f>
        <v>0</v>
      </c>
      <c r="AU85" s="22">
        <f t="shared" ref="AU85" si="368">+AU83+AU84</f>
        <v>587.96</v>
      </c>
      <c r="AV85" s="22">
        <f t="shared" ref="AV85" si="369">+AV83+AV84</f>
        <v>0</v>
      </c>
      <c r="AW85" s="22">
        <f t="shared" ref="AW85" si="370">+AW83+AW84</f>
        <v>25</v>
      </c>
      <c r="AX85" s="22">
        <f t="shared" ref="AX85" si="371">+AX83+AX84</f>
        <v>0</v>
      </c>
      <c r="AY85" s="22">
        <f t="shared" ref="AY85" si="372">+AY83+AY84</f>
        <v>2019.9199999999998</v>
      </c>
      <c r="AZ85" s="22">
        <f t="shared" ref="AZ85" si="373">+AZ83+AZ84</f>
        <v>0</v>
      </c>
      <c r="BA85" s="22">
        <f t="shared" ref="BA85" si="374">+BA83+BA84</f>
        <v>2019.9199999999998</v>
      </c>
      <c r="BB85" s="22">
        <f t="shared" ref="BB85" si="375">+BB83+BB84</f>
        <v>2015.51</v>
      </c>
      <c r="BC85" s="22">
        <f t="shared" ref="BC85" si="376">+BC83+BC84</f>
        <v>0</v>
      </c>
      <c r="BD85" s="22">
        <f t="shared" ref="BD85" si="377">+BD83+BD84</f>
        <v>4.410000000000025</v>
      </c>
      <c r="BE85" s="22">
        <f t="shared" ref="BE85" si="378">+BE83+BE84</f>
        <v>0</v>
      </c>
      <c r="BF85" s="22">
        <f t="shared" ref="BF85" si="379">+BF83+BF84</f>
        <v>403.11</v>
      </c>
      <c r="BG85" s="120">
        <f t="shared" ref="BG85:CB85" si="380">+BG83+BG84</f>
        <v>0</v>
      </c>
      <c r="BH85" s="120">
        <f t="shared" si="380"/>
        <v>204.35</v>
      </c>
      <c r="BI85" s="120">
        <f t="shared" si="380"/>
        <v>0</v>
      </c>
      <c r="BJ85" s="120">
        <f t="shared" si="380"/>
        <v>0</v>
      </c>
      <c r="BK85" s="120">
        <f t="shared" si="380"/>
        <v>0</v>
      </c>
      <c r="BL85" s="120">
        <f t="shared" si="380"/>
        <v>2224.2699999999995</v>
      </c>
      <c r="BM85" s="120">
        <f t="shared" si="380"/>
        <v>0</v>
      </c>
      <c r="BN85" s="120">
        <f t="shared" si="380"/>
        <v>2224.2699999999995</v>
      </c>
      <c r="BO85" s="120">
        <f t="shared" si="380"/>
        <v>2051.77</v>
      </c>
      <c r="BP85" s="120">
        <f t="shared" si="380"/>
        <v>0</v>
      </c>
      <c r="BQ85" s="22">
        <f t="shared" si="380"/>
        <v>172.49999999999972</v>
      </c>
      <c r="BR85" s="22">
        <f t="shared" si="380"/>
        <v>0</v>
      </c>
      <c r="BS85" s="22">
        <f t="shared" si="380"/>
        <v>186.53</v>
      </c>
      <c r="BT85" s="22">
        <f t="shared" si="380"/>
        <v>0</v>
      </c>
      <c r="BU85" s="22">
        <f t="shared" si="380"/>
        <v>14.03</v>
      </c>
      <c r="BV85" s="22">
        <f t="shared" si="380"/>
        <v>0</v>
      </c>
      <c r="BW85" s="22">
        <f t="shared" si="380"/>
        <v>251.42999999999998</v>
      </c>
      <c r="BX85" s="22">
        <f t="shared" si="380"/>
        <v>0</v>
      </c>
      <c r="BY85" s="22">
        <f t="shared" si="380"/>
        <v>0</v>
      </c>
      <c r="BZ85" s="22">
        <f t="shared" si="380"/>
        <v>0</v>
      </c>
      <c r="CA85" s="22">
        <f t="shared" si="380"/>
        <v>2489.7299999999996</v>
      </c>
      <c r="CB85" s="22">
        <f t="shared" si="380"/>
        <v>0</v>
      </c>
    </row>
    <row r="86" spans="1:80" ht="18" x14ac:dyDescent="0.3">
      <c r="A86" s="18">
        <v>65</v>
      </c>
      <c r="B86" s="18" t="s">
        <v>123</v>
      </c>
      <c r="C86" s="19" t="s">
        <v>124</v>
      </c>
      <c r="D86" s="20" t="s">
        <v>125</v>
      </c>
      <c r="E86" s="21" t="s">
        <v>126</v>
      </c>
      <c r="F86" s="82">
        <v>525.37999999999988</v>
      </c>
      <c r="G86" s="82">
        <v>0</v>
      </c>
      <c r="H86" s="82">
        <v>525.37999999999988</v>
      </c>
      <c r="I86" s="22">
        <v>0</v>
      </c>
      <c r="J86" s="89">
        <v>553</v>
      </c>
      <c r="K86" s="89">
        <v>0</v>
      </c>
      <c r="L86" s="89">
        <v>0</v>
      </c>
      <c r="M86" s="89">
        <f>J86+K86+L86</f>
        <v>553</v>
      </c>
      <c r="N86" s="89">
        <v>0</v>
      </c>
      <c r="O86" s="89">
        <v>0</v>
      </c>
      <c r="P86" s="89">
        <v>0</v>
      </c>
      <c r="Q86" s="89">
        <f>N86+O86+P86</f>
        <v>0</v>
      </c>
      <c r="R86" s="89">
        <f>+Q86+M86</f>
        <v>553</v>
      </c>
      <c r="S86" s="89">
        <v>0</v>
      </c>
      <c r="V86" s="22">
        <f t="shared" ref="V86" si="381">ROUND(H86*1.0583,2)</f>
        <v>556.01</v>
      </c>
      <c r="W86" s="22">
        <f t="shared" ref="W86" si="382">ROUND(I86*1.0327,2)</f>
        <v>0</v>
      </c>
      <c r="X86" s="22">
        <f t="shared" si="252"/>
        <v>-3.0099999999999909</v>
      </c>
      <c r="Y86" s="22">
        <f t="shared" si="253"/>
        <v>0</v>
      </c>
      <c r="Z86" s="22">
        <v>553</v>
      </c>
      <c r="AA86" s="22"/>
      <c r="AB86" s="22">
        <f t="shared" si="254"/>
        <v>553</v>
      </c>
      <c r="AC86" s="111">
        <f t="shared" si="255"/>
        <v>0</v>
      </c>
      <c r="AD86" s="22">
        <f t="shared" ref="AD86" si="383">IF(X86&gt;0,V86,R86)</f>
        <v>553</v>
      </c>
      <c r="AE86" s="22">
        <f t="shared" ref="AE86" si="384">IF(Y86&gt;0,W86,S86)</f>
        <v>0</v>
      </c>
      <c r="AF86" s="22">
        <f t="shared" si="256"/>
        <v>0</v>
      </c>
      <c r="AG86" s="110">
        <f t="shared" si="257"/>
        <v>138</v>
      </c>
      <c r="AH86" s="110">
        <f t="shared" si="258"/>
        <v>0</v>
      </c>
      <c r="AI86" s="129">
        <f t="shared" si="259"/>
        <v>46</v>
      </c>
      <c r="AJ86" s="110">
        <f t="shared" si="260"/>
        <v>0</v>
      </c>
      <c r="AM86" s="110">
        <f t="shared" si="261"/>
        <v>138.25</v>
      </c>
      <c r="AN86" s="110">
        <f t="shared" si="262"/>
        <v>0</v>
      </c>
      <c r="AQ86" s="118">
        <f t="shared" si="263"/>
        <v>276.25</v>
      </c>
      <c r="AR86" s="118">
        <f t="shared" si="264"/>
        <v>0</v>
      </c>
      <c r="AS86" s="118"/>
      <c r="AT86" s="118"/>
      <c r="AU86" s="118">
        <f t="shared" si="244"/>
        <v>138.25</v>
      </c>
      <c r="AV86" s="118">
        <f t="shared" si="136"/>
        <v>0</v>
      </c>
      <c r="AW86" s="146">
        <v>35</v>
      </c>
      <c r="AX86" s="118"/>
      <c r="AY86" s="110">
        <f t="shared" si="245"/>
        <v>495.5</v>
      </c>
      <c r="AZ86" s="110">
        <f t="shared" si="246"/>
        <v>0</v>
      </c>
      <c r="BA86" s="110">
        <f t="shared" si="247"/>
        <v>495.5</v>
      </c>
      <c r="BB86" s="142">
        <v>497.87</v>
      </c>
      <c r="BD86" s="142">
        <f t="shared" si="248"/>
        <v>-2.3700000000000045</v>
      </c>
      <c r="BE86" s="142">
        <f t="shared" si="249"/>
        <v>0</v>
      </c>
      <c r="BF86" s="142">
        <f t="shared" si="250"/>
        <v>99.57</v>
      </c>
      <c r="BG86" s="142">
        <f t="shared" si="251"/>
        <v>0</v>
      </c>
      <c r="BH86" s="110">
        <v>37.85</v>
      </c>
      <c r="BI86" s="110">
        <v>0</v>
      </c>
      <c r="BL86" s="110">
        <f t="shared" si="271"/>
        <v>533.35</v>
      </c>
      <c r="BM86" s="110">
        <f t="shared" si="272"/>
        <v>0</v>
      </c>
      <c r="BN86" s="110">
        <f t="shared" si="273"/>
        <v>533.35</v>
      </c>
      <c r="BO86" s="110">
        <v>546.41999999999996</v>
      </c>
      <c r="BP86" s="129"/>
      <c r="BQ86" s="110">
        <f t="shared" si="274"/>
        <v>-13.069999999999936</v>
      </c>
      <c r="BR86" s="110">
        <f t="shared" si="275"/>
        <v>0</v>
      </c>
      <c r="BS86" s="110">
        <f t="shared" si="276"/>
        <v>49.67</v>
      </c>
      <c r="BT86" s="110">
        <f t="shared" si="277"/>
        <v>0</v>
      </c>
      <c r="BU86" s="110">
        <v>62.74</v>
      </c>
      <c r="BV86" s="110">
        <f t="shared" si="329"/>
        <v>0</v>
      </c>
      <c r="BW86" s="110">
        <v>20.5</v>
      </c>
      <c r="CA86" s="110">
        <f t="shared" si="278"/>
        <v>616.59</v>
      </c>
      <c r="CB86" s="110">
        <f t="shared" si="279"/>
        <v>0</v>
      </c>
    </row>
    <row r="87" spans="1:80" ht="18" x14ac:dyDescent="0.3">
      <c r="A87" s="18">
        <v>66</v>
      </c>
      <c r="B87" s="18" t="s">
        <v>127</v>
      </c>
      <c r="C87" s="19" t="s">
        <v>128</v>
      </c>
      <c r="D87" s="20" t="s">
        <v>129</v>
      </c>
      <c r="E87" s="21" t="s">
        <v>130</v>
      </c>
      <c r="F87" s="82">
        <v>365.35</v>
      </c>
      <c r="G87" s="82">
        <v>0</v>
      </c>
      <c r="H87" s="82">
        <v>365.35</v>
      </c>
      <c r="I87" s="22">
        <v>0</v>
      </c>
      <c r="J87" s="89">
        <v>500</v>
      </c>
      <c r="K87" s="89">
        <v>0</v>
      </c>
      <c r="L87" s="89">
        <v>0</v>
      </c>
      <c r="M87" s="89">
        <f t="shared" ref="M87:M112" si="385">J87+K87+L87</f>
        <v>500</v>
      </c>
      <c r="N87" s="89">
        <v>0</v>
      </c>
      <c r="O87" s="89">
        <v>0</v>
      </c>
      <c r="P87" s="89">
        <v>0</v>
      </c>
      <c r="Q87" s="89">
        <f t="shared" ref="Q87:Q92" si="386">N87+O87+P87</f>
        <v>0</v>
      </c>
      <c r="R87" s="89">
        <f>+Q87+M87</f>
        <v>500</v>
      </c>
      <c r="S87" s="89">
        <v>0</v>
      </c>
      <c r="V87" s="22">
        <f t="shared" ref="V87:V88" si="387">ROUND(H87*1.0583,2)</f>
        <v>386.65</v>
      </c>
      <c r="W87" s="22">
        <f t="shared" ref="W87:W88" si="388">ROUND(I87*1.0327,2)</f>
        <v>0</v>
      </c>
      <c r="X87" s="22">
        <f t="shared" si="252"/>
        <v>113.35000000000002</v>
      </c>
      <c r="Y87" s="22">
        <f t="shared" si="253"/>
        <v>0</v>
      </c>
      <c r="Z87" s="22">
        <v>386.65</v>
      </c>
      <c r="AA87" s="22"/>
      <c r="AB87" s="22">
        <f t="shared" si="254"/>
        <v>386.65</v>
      </c>
      <c r="AC87" s="111">
        <f t="shared" si="255"/>
        <v>0</v>
      </c>
      <c r="AD87" s="22">
        <f t="shared" ref="AD87" si="389">IF(X87&gt;0,V87,R87)</f>
        <v>386.65</v>
      </c>
      <c r="AE87" s="22">
        <f t="shared" ref="AE87" si="390">IF(Y87&gt;0,W87,S87)</f>
        <v>0</v>
      </c>
      <c r="AF87" s="22">
        <f t="shared" si="256"/>
        <v>0</v>
      </c>
      <c r="AG87" s="110">
        <f t="shared" si="257"/>
        <v>97</v>
      </c>
      <c r="AH87" s="110">
        <f t="shared" si="258"/>
        <v>0</v>
      </c>
      <c r="AI87" s="129">
        <f t="shared" si="259"/>
        <v>32</v>
      </c>
      <c r="AJ87" s="110">
        <f t="shared" si="260"/>
        <v>0</v>
      </c>
      <c r="AK87" s="146">
        <v>7</v>
      </c>
      <c r="AM87" s="110">
        <f t="shared" si="261"/>
        <v>96.66</v>
      </c>
      <c r="AN87" s="110">
        <f t="shared" si="262"/>
        <v>0</v>
      </c>
      <c r="AQ87" s="118">
        <f t="shared" si="263"/>
        <v>200.66</v>
      </c>
      <c r="AR87" s="118">
        <f t="shared" si="264"/>
        <v>0</v>
      </c>
      <c r="AS87" s="118">
        <v>15</v>
      </c>
      <c r="AT87" s="118"/>
      <c r="AU87" s="118">
        <f t="shared" si="244"/>
        <v>96.66</v>
      </c>
      <c r="AV87" s="118">
        <f t="shared" si="136"/>
        <v>0</v>
      </c>
      <c r="AW87" s="146">
        <v>42</v>
      </c>
      <c r="AX87" s="146">
        <v>10</v>
      </c>
      <c r="AY87" s="110">
        <f t="shared" si="245"/>
        <v>386.32</v>
      </c>
      <c r="AZ87" s="110">
        <f t="shared" si="246"/>
        <v>10</v>
      </c>
      <c r="BA87" s="110">
        <f t="shared" si="247"/>
        <v>396.32</v>
      </c>
      <c r="BB87" s="142">
        <v>389.81</v>
      </c>
      <c r="BD87" s="142">
        <f t="shared" si="248"/>
        <v>-3.4900000000000091</v>
      </c>
      <c r="BE87" s="142">
        <f t="shared" si="249"/>
        <v>10</v>
      </c>
      <c r="BF87" s="142">
        <f t="shared" si="250"/>
        <v>77.959999999999994</v>
      </c>
      <c r="BG87" s="142">
        <f t="shared" si="251"/>
        <v>0</v>
      </c>
      <c r="BH87" s="110">
        <v>40.729999999999997</v>
      </c>
      <c r="BI87" s="110">
        <v>0</v>
      </c>
      <c r="BL87" s="110">
        <f t="shared" si="271"/>
        <v>427.05</v>
      </c>
      <c r="BM87" s="110">
        <f t="shared" si="272"/>
        <v>10</v>
      </c>
      <c r="BN87" s="110">
        <f t="shared" si="273"/>
        <v>437.05</v>
      </c>
      <c r="BO87" s="110">
        <v>425.81</v>
      </c>
      <c r="BP87" s="129"/>
      <c r="BQ87" s="110">
        <f t="shared" si="274"/>
        <v>1.2400000000000091</v>
      </c>
      <c r="BR87" s="110">
        <f t="shared" si="275"/>
        <v>10</v>
      </c>
      <c r="BS87" s="110">
        <f t="shared" si="276"/>
        <v>38.71</v>
      </c>
      <c r="BT87" s="110">
        <f t="shared" si="277"/>
        <v>0</v>
      </c>
      <c r="BU87" s="146">
        <v>23</v>
      </c>
      <c r="BV87" s="110">
        <v>0</v>
      </c>
      <c r="CA87" s="110">
        <f t="shared" si="278"/>
        <v>450.05</v>
      </c>
      <c r="CB87" s="110">
        <f t="shared" si="279"/>
        <v>10</v>
      </c>
    </row>
    <row r="88" spans="1:80" ht="36" x14ac:dyDescent="0.3">
      <c r="A88" s="18"/>
      <c r="B88" s="18" t="s">
        <v>131</v>
      </c>
      <c r="C88" s="19" t="s">
        <v>85</v>
      </c>
      <c r="D88" s="148" t="s">
        <v>564</v>
      </c>
      <c r="E88" s="21" t="s">
        <v>132</v>
      </c>
      <c r="F88" s="82">
        <v>335.28</v>
      </c>
      <c r="G88" s="82">
        <v>0</v>
      </c>
      <c r="H88" s="82">
        <v>361</v>
      </c>
      <c r="I88" s="22">
        <v>0</v>
      </c>
      <c r="J88" s="89">
        <v>339</v>
      </c>
      <c r="K88" s="89">
        <v>0</v>
      </c>
      <c r="L88" s="89">
        <v>0</v>
      </c>
      <c r="M88" s="89">
        <f t="shared" si="385"/>
        <v>339</v>
      </c>
      <c r="N88" s="89">
        <v>96</v>
      </c>
      <c r="O88" s="89">
        <v>0</v>
      </c>
      <c r="P88" s="89">
        <v>0</v>
      </c>
      <c r="Q88" s="89">
        <f t="shared" si="386"/>
        <v>96</v>
      </c>
      <c r="R88" s="89">
        <f>+Q88+M88</f>
        <v>435</v>
      </c>
      <c r="S88" s="89"/>
      <c r="V88" s="22">
        <f t="shared" si="387"/>
        <v>382.05</v>
      </c>
      <c r="W88" s="22">
        <f t="shared" si="388"/>
        <v>0</v>
      </c>
      <c r="X88" s="22">
        <f t="shared" si="252"/>
        <v>52.949999999999989</v>
      </c>
      <c r="Y88" s="22">
        <f t="shared" si="253"/>
        <v>0</v>
      </c>
      <c r="Z88" s="22"/>
      <c r="AA88" s="22"/>
      <c r="AB88" s="22"/>
      <c r="AC88" s="111"/>
      <c r="AD88" s="22"/>
      <c r="AE88" s="22"/>
      <c r="AF88" s="22"/>
      <c r="AG88" s="110"/>
      <c r="AH88" s="110"/>
      <c r="AI88" s="129"/>
      <c r="AY88" s="110">
        <f t="shared" si="245"/>
        <v>0</v>
      </c>
      <c r="AZ88" s="110">
        <f t="shared" si="246"/>
        <v>0</v>
      </c>
      <c r="BA88" s="110">
        <f t="shared" si="247"/>
        <v>0</v>
      </c>
      <c r="BD88" s="142">
        <f t="shared" si="248"/>
        <v>0</v>
      </c>
      <c r="BE88" s="142">
        <f t="shared" si="249"/>
        <v>0</v>
      </c>
      <c r="BF88" s="142">
        <f t="shared" si="250"/>
        <v>0</v>
      </c>
      <c r="BG88" s="142">
        <f t="shared" si="251"/>
        <v>0</v>
      </c>
      <c r="BH88" s="110">
        <v>0</v>
      </c>
      <c r="BI88" s="110">
        <v>0</v>
      </c>
      <c r="BL88" s="110">
        <f t="shared" si="271"/>
        <v>0</v>
      </c>
      <c r="BM88" s="110">
        <f t="shared" si="272"/>
        <v>0</v>
      </c>
      <c r="BN88" s="110">
        <f t="shared" si="273"/>
        <v>0</v>
      </c>
      <c r="BO88" s="110">
        <f t="shared" ref="BO88" si="391">+BJ88+BA88+BL88</f>
        <v>0</v>
      </c>
      <c r="BP88" s="129">
        <f t="shared" ref="BP88" si="392">+BK88+BB88+BM88</f>
        <v>0</v>
      </c>
      <c r="BQ88" s="110">
        <f t="shared" si="274"/>
        <v>0</v>
      </c>
      <c r="BR88" s="110">
        <f t="shared" si="275"/>
        <v>0</v>
      </c>
      <c r="BS88" s="110">
        <f t="shared" si="276"/>
        <v>0</v>
      </c>
      <c r="BT88" s="110">
        <f t="shared" si="277"/>
        <v>0</v>
      </c>
      <c r="BU88" s="110">
        <f t="shared" si="287"/>
        <v>0</v>
      </c>
      <c r="BV88" s="110">
        <f t="shared" si="329"/>
        <v>0</v>
      </c>
      <c r="CA88" s="110">
        <f t="shared" si="278"/>
        <v>0</v>
      </c>
      <c r="CB88" s="110">
        <f t="shared" si="279"/>
        <v>0</v>
      </c>
    </row>
    <row r="89" spans="1:80" s="112" customFormat="1" ht="18" x14ac:dyDescent="0.3">
      <c r="A89" s="46"/>
      <c r="B89" s="46"/>
      <c r="C89" s="47"/>
      <c r="D89" s="48" t="s">
        <v>133</v>
      </c>
      <c r="E89" s="49" t="s">
        <v>134</v>
      </c>
      <c r="F89" s="66">
        <v>87788.62999999999</v>
      </c>
      <c r="G89" s="66">
        <v>36316.740000000005</v>
      </c>
      <c r="H89" s="66">
        <v>89104.97</v>
      </c>
      <c r="I89" s="66">
        <v>36681.47</v>
      </c>
      <c r="J89" s="99" t="e">
        <f t="shared" ref="J89:AA89" si="393">+J88+J87+J86+J85+J82+J79+J75+J71+J68+J65+J62+J59+J56+J52+J49+J45+J44+J43+J39+J36+J33+J29+J26+J16+J13+J10+J7</f>
        <v>#REF!</v>
      </c>
      <c r="K89" s="99" t="e">
        <f t="shared" si="393"/>
        <v>#REF!</v>
      </c>
      <c r="L89" s="99" t="e">
        <f t="shared" si="393"/>
        <v>#REF!</v>
      </c>
      <c r="M89" s="99" t="e">
        <f t="shared" si="393"/>
        <v>#REF!</v>
      </c>
      <c r="N89" s="99" t="e">
        <f t="shared" si="393"/>
        <v>#REF!</v>
      </c>
      <c r="O89" s="99" t="e">
        <f t="shared" si="393"/>
        <v>#REF!</v>
      </c>
      <c r="P89" s="99" t="e">
        <f t="shared" si="393"/>
        <v>#REF!</v>
      </c>
      <c r="Q89" s="99" t="e">
        <f t="shared" si="393"/>
        <v>#REF!</v>
      </c>
      <c r="R89" s="99" t="e">
        <f t="shared" si="393"/>
        <v>#REF!</v>
      </c>
      <c r="S89" s="99" t="e">
        <f t="shared" si="393"/>
        <v>#REF!</v>
      </c>
      <c r="T89" s="99" t="e">
        <f t="shared" si="393"/>
        <v>#REF!</v>
      </c>
      <c r="U89" s="99" t="e">
        <f t="shared" si="393"/>
        <v>#REF!</v>
      </c>
      <c r="V89" s="99" t="e">
        <f t="shared" si="393"/>
        <v>#REF!</v>
      </c>
      <c r="W89" s="99" t="e">
        <f t="shared" si="393"/>
        <v>#REF!</v>
      </c>
      <c r="X89" s="99" t="e">
        <f t="shared" si="393"/>
        <v>#REF!</v>
      </c>
      <c r="Y89" s="99" t="e">
        <f t="shared" si="393"/>
        <v>#REF!</v>
      </c>
      <c r="Z89" s="99" t="e">
        <f t="shared" si="393"/>
        <v>#REF!</v>
      </c>
      <c r="AA89" s="99" t="e">
        <f t="shared" si="393"/>
        <v>#REF!</v>
      </c>
      <c r="AB89" s="66" t="e">
        <f t="shared" si="254"/>
        <v>#REF!</v>
      </c>
      <c r="AC89" s="111" t="e">
        <f t="shared" si="255"/>
        <v>#REF!</v>
      </c>
      <c r="AD89" s="66">
        <f t="shared" ref="AD89:AE89" si="394">+AD88+AD87+AD86+AD85+AD82+AD79+AD75+AD71+AD68+AD65+AD62+AD59+AD56+AD52+AD49+AD45+AD44+AD43+AD39+AD36+AD33+AD29+AD26+AD16+AD13+AD10+AD7</f>
        <v>94491.839999999997</v>
      </c>
      <c r="AE89" s="66">
        <f t="shared" si="394"/>
        <v>37642.29</v>
      </c>
      <c r="AF89" s="66">
        <f t="shared" ref="AF89:CB89" si="395">+AF88+AF87+AF86+AF85+AF82+AF79+AF75+AF71+AF68+AF65+AF62+AF59+AF56+AF52+AF49+AF45+AF44+AF43+AF39+AF36+AF33+AF29+AF26+AF16+AF13+AF10+AF7</f>
        <v>36710.85</v>
      </c>
      <c r="AG89" s="66">
        <f t="shared" si="395"/>
        <v>23608.1</v>
      </c>
      <c r="AH89" s="66">
        <f t="shared" si="395"/>
        <v>9410</v>
      </c>
      <c r="AI89" s="66">
        <f t="shared" si="395"/>
        <v>7874</v>
      </c>
      <c r="AJ89" s="66">
        <f t="shared" si="395"/>
        <v>3137</v>
      </c>
      <c r="AK89" s="66">
        <f t="shared" si="395"/>
        <v>107</v>
      </c>
      <c r="AL89" s="66">
        <f t="shared" si="395"/>
        <v>12.95</v>
      </c>
      <c r="AM89" s="66">
        <f t="shared" si="395"/>
        <v>23622.98</v>
      </c>
      <c r="AN89" s="66">
        <f t="shared" si="395"/>
        <v>9231.07</v>
      </c>
      <c r="AO89" s="66">
        <f t="shared" si="395"/>
        <v>0</v>
      </c>
      <c r="AP89" s="66">
        <f t="shared" si="395"/>
        <v>0</v>
      </c>
      <c r="AQ89" s="66">
        <f t="shared" si="395"/>
        <v>47338.080000000009</v>
      </c>
      <c r="AR89" s="66">
        <f t="shared" si="395"/>
        <v>18654.02</v>
      </c>
      <c r="AS89" s="66">
        <f t="shared" si="395"/>
        <v>410</v>
      </c>
      <c r="AT89" s="66">
        <f t="shared" si="395"/>
        <v>145</v>
      </c>
      <c r="AU89" s="66">
        <f t="shared" si="395"/>
        <v>23694.760000000002</v>
      </c>
      <c r="AV89" s="66">
        <f t="shared" si="395"/>
        <v>11453.33</v>
      </c>
      <c r="AW89" s="66">
        <f t="shared" si="395"/>
        <v>192</v>
      </c>
      <c r="AX89" s="66">
        <f t="shared" si="395"/>
        <v>838.19</v>
      </c>
      <c r="AY89" s="66">
        <f t="shared" si="395"/>
        <v>79508.840000000011</v>
      </c>
      <c r="AZ89" s="66">
        <f t="shared" si="395"/>
        <v>34227.540000000008</v>
      </c>
      <c r="BA89" s="66">
        <f t="shared" si="395"/>
        <v>113736.37999999999</v>
      </c>
      <c r="BB89" s="66">
        <f t="shared" si="395"/>
        <v>75446.880000000005</v>
      </c>
      <c r="BC89" s="66">
        <f t="shared" si="395"/>
        <v>33594.109999999993</v>
      </c>
      <c r="BD89" s="66">
        <f t="shared" si="395"/>
        <v>4061.96</v>
      </c>
      <c r="BE89" s="66">
        <f t="shared" si="395"/>
        <v>633.43000000000143</v>
      </c>
      <c r="BF89" s="66">
        <f t="shared" si="395"/>
        <v>15089.38</v>
      </c>
      <c r="BG89" s="66">
        <f t="shared" si="395"/>
        <v>6718.83</v>
      </c>
      <c r="BH89" s="66">
        <f t="shared" si="395"/>
        <v>6389.8499999999995</v>
      </c>
      <c r="BI89" s="66">
        <f t="shared" si="395"/>
        <v>3028.9</v>
      </c>
      <c r="BJ89" s="66">
        <f t="shared" si="395"/>
        <v>130</v>
      </c>
      <c r="BK89" s="66">
        <f t="shared" si="395"/>
        <v>70.28</v>
      </c>
      <c r="BL89" s="66">
        <f t="shared" si="395"/>
        <v>86028.689999999988</v>
      </c>
      <c r="BM89" s="66">
        <f t="shared" si="395"/>
        <v>37326.720000000001</v>
      </c>
      <c r="BN89" s="66">
        <f t="shared" si="395"/>
        <v>127062.93</v>
      </c>
      <c r="BO89" s="66">
        <f t="shared" si="395"/>
        <v>82127.890000000014</v>
      </c>
      <c r="BP89" s="132">
        <f t="shared" si="395"/>
        <v>36606.58</v>
      </c>
      <c r="BQ89" s="66">
        <f t="shared" si="395"/>
        <v>3900.7999999999993</v>
      </c>
      <c r="BR89" s="66">
        <f t="shared" si="395"/>
        <v>720.13999999999942</v>
      </c>
      <c r="BS89" s="66">
        <f t="shared" si="395"/>
        <v>7466.23</v>
      </c>
      <c r="BT89" s="66">
        <f t="shared" si="395"/>
        <v>3327.8799999999997</v>
      </c>
      <c r="BU89" s="66">
        <f t="shared" si="395"/>
        <v>4098.7800000000007</v>
      </c>
      <c r="BV89" s="66">
        <f t="shared" si="395"/>
        <v>2950.97</v>
      </c>
      <c r="BW89" s="66">
        <f t="shared" si="395"/>
        <v>7005.510000000002</v>
      </c>
      <c r="BX89" s="66">
        <f t="shared" si="395"/>
        <v>965.13</v>
      </c>
      <c r="BY89" s="66">
        <f t="shared" si="395"/>
        <v>0</v>
      </c>
      <c r="BZ89" s="66">
        <f t="shared" si="395"/>
        <v>0</v>
      </c>
      <c r="CA89" s="66">
        <f t="shared" si="395"/>
        <v>97132.979999999981</v>
      </c>
      <c r="CB89" s="66">
        <f t="shared" si="395"/>
        <v>41242.82</v>
      </c>
    </row>
    <row r="90" spans="1:80" ht="18" x14ac:dyDescent="0.3">
      <c r="A90" s="51">
        <v>1</v>
      </c>
      <c r="B90" s="51" t="s">
        <v>135</v>
      </c>
      <c r="C90" s="52" t="s">
        <v>136</v>
      </c>
      <c r="D90" s="53" t="s">
        <v>137</v>
      </c>
      <c r="E90" s="54" t="s">
        <v>138</v>
      </c>
      <c r="F90" s="82">
        <v>1761.76</v>
      </c>
      <c r="G90" s="82">
        <v>189.32</v>
      </c>
      <c r="H90" s="82">
        <v>1761.76</v>
      </c>
      <c r="I90" s="55">
        <v>189.32</v>
      </c>
      <c r="J90" s="95">
        <v>2250</v>
      </c>
      <c r="K90" s="95">
        <v>0</v>
      </c>
      <c r="L90" s="95">
        <v>0</v>
      </c>
      <c r="M90" s="89">
        <f t="shared" si="385"/>
        <v>2250</v>
      </c>
      <c r="N90" s="95">
        <v>0</v>
      </c>
      <c r="O90" s="95">
        <v>0</v>
      </c>
      <c r="P90" s="95">
        <v>0</v>
      </c>
      <c r="Q90" s="89">
        <f t="shared" si="386"/>
        <v>0</v>
      </c>
      <c r="R90" s="89">
        <f>+Q90+M90</f>
        <v>2250</v>
      </c>
      <c r="S90" s="95">
        <v>250</v>
      </c>
      <c r="V90" s="55">
        <f t="shared" ref="V90:V91" si="396">ROUND(H90*1.0583,2)</f>
        <v>1864.47</v>
      </c>
      <c r="W90" s="55">
        <f t="shared" ref="W90:W91" si="397">ROUND(I90*1.0327,2)</f>
        <v>195.51</v>
      </c>
      <c r="X90" s="55">
        <f t="shared" si="252"/>
        <v>385.53</v>
      </c>
      <c r="Y90" s="55">
        <f t="shared" si="253"/>
        <v>54.490000000000009</v>
      </c>
      <c r="Z90" s="55">
        <v>1864.47</v>
      </c>
      <c r="AA90" s="55"/>
      <c r="AB90" s="55">
        <f t="shared" si="254"/>
        <v>1864.47</v>
      </c>
      <c r="AC90" s="111">
        <f t="shared" si="255"/>
        <v>0</v>
      </c>
      <c r="AD90" s="22">
        <f t="shared" ref="AD90:AD91" si="398">IF(X90&gt;0,V90,R90)</f>
        <v>1864.47</v>
      </c>
      <c r="AE90" s="22">
        <f t="shared" ref="AE90:AE91" si="399">IF(Y90&gt;0,W90,S90)</f>
        <v>195.51</v>
      </c>
      <c r="AF90" s="22">
        <f t="shared" si="256"/>
        <v>225.55</v>
      </c>
      <c r="AG90" s="110">
        <f t="shared" si="257"/>
        <v>466</v>
      </c>
      <c r="AH90" s="110">
        <f t="shared" si="258"/>
        <v>49</v>
      </c>
      <c r="AI90" s="129">
        <f t="shared" si="259"/>
        <v>155</v>
      </c>
      <c r="AJ90" s="110">
        <f t="shared" si="260"/>
        <v>16</v>
      </c>
      <c r="AM90" s="110">
        <f t="shared" si="261"/>
        <v>466.12</v>
      </c>
      <c r="AN90" s="110">
        <f t="shared" si="262"/>
        <v>47.61</v>
      </c>
      <c r="AQ90" s="110">
        <f t="shared" si="263"/>
        <v>932.12</v>
      </c>
      <c r="AR90" s="110">
        <f t="shared" si="264"/>
        <v>96.61</v>
      </c>
      <c r="AU90" s="110">
        <f>ROUND(AD90*25%,2)</f>
        <v>466.12</v>
      </c>
      <c r="AV90" s="110">
        <f t="shared" si="136"/>
        <v>48.88</v>
      </c>
      <c r="AY90" s="110">
        <f t="shared" si="245"/>
        <v>1553.24</v>
      </c>
      <c r="AZ90" s="110">
        <f t="shared" si="246"/>
        <v>161.49</v>
      </c>
      <c r="BA90" s="110">
        <f t="shared" si="247"/>
        <v>1714.73</v>
      </c>
      <c r="BB90" s="142">
        <v>1520.11</v>
      </c>
      <c r="BC90" s="142">
        <v>85.83</v>
      </c>
      <c r="BD90" s="142">
        <f t="shared" si="248"/>
        <v>33.130000000000109</v>
      </c>
      <c r="BE90" s="142">
        <f t="shared" si="249"/>
        <v>75.660000000000011</v>
      </c>
      <c r="BF90" s="142">
        <f t="shared" si="250"/>
        <v>304.02</v>
      </c>
      <c r="BG90" s="142">
        <f t="shared" si="251"/>
        <v>17.170000000000002</v>
      </c>
      <c r="BH90" s="110">
        <v>135.44999999999999</v>
      </c>
      <c r="BI90" s="110">
        <v>0</v>
      </c>
      <c r="BL90" s="110">
        <f t="shared" si="271"/>
        <v>1688.69</v>
      </c>
      <c r="BM90" s="110">
        <f t="shared" si="272"/>
        <v>161.49</v>
      </c>
      <c r="BN90" s="110">
        <f t="shared" si="273"/>
        <v>1850.18</v>
      </c>
      <c r="BO90" s="110">
        <v>1672.86</v>
      </c>
      <c r="BP90" s="129">
        <v>86.96</v>
      </c>
      <c r="BQ90" s="110">
        <f t="shared" si="274"/>
        <v>15.830000000000155</v>
      </c>
      <c r="BR90" s="110">
        <f t="shared" si="275"/>
        <v>74.530000000000015</v>
      </c>
      <c r="BS90" s="110">
        <f t="shared" si="276"/>
        <v>152.08000000000001</v>
      </c>
      <c r="BT90" s="110">
        <f t="shared" si="277"/>
        <v>7.91</v>
      </c>
      <c r="BU90" s="110">
        <f t="shared" si="287"/>
        <v>136.24999999999986</v>
      </c>
      <c r="BV90" s="110">
        <v>0</v>
      </c>
      <c r="CA90" s="110">
        <f t="shared" si="278"/>
        <v>1824.9399999999998</v>
      </c>
      <c r="CB90" s="110">
        <f t="shared" si="279"/>
        <v>161.49</v>
      </c>
    </row>
    <row r="91" spans="1:80" ht="18" x14ac:dyDescent="0.3">
      <c r="A91" s="13">
        <v>2</v>
      </c>
      <c r="B91" s="13"/>
      <c r="C91" s="14"/>
      <c r="D91" s="15" t="s">
        <v>139</v>
      </c>
      <c r="E91" s="16"/>
      <c r="F91" s="82">
        <v>1508.2699999999998</v>
      </c>
      <c r="G91" s="82">
        <v>151.47</v>
      </c>
      <c r="H91" s="82">
        <v>1508.2699999999998</v>
      </c>
      <c r="I91" s="17">
        <v>200</v>
      </c>
      <c r="J91" s="87">
        <v>1350</v>
      </c>
      <c r="K91" s="88">
        <v>300</v>
      </c>
      <c r="L91" s="88">
        <v>0</v>
      </c>
      <c r="M91" s="88">
        <f t="shared" si="385"/>
        <v>1650</v>
      </c>
      <c r="N91" s="88">
        <v>0</v>
      </c>
      <c r="O91" s="88">
        <v>0</v>
      </c>
      <c r="P91" s="88">
        <v>0</v>
      </c>
      <c r="Q91" s="88">
        <f t="shared" si="386"/>
        <v>0</v>
      </c>
      <c r="R91" s="88">
        <f t="shared" ref="R91" si="400">Q91+M91</f>
        <v>1650</v>
      </c>
      <c r="S91" s="88">
        <v>100</v>
      </c>
      <c r="V91" s="17">
        <f t="shared" si="396"/>
        <v>1596.2</v>
      </c>
      <c r="W91" s="17">
        <f t="shared" si="397"/>
        <v>206.54</v>
      </c>
      <c r="X91" s="110">
        <f t="shared" si="252"/>
        <v>53.799999999999955</v>
      </c>
      <c r="Y91" s="110">
        <f t="shared" si="253"/>
        <v>-106.53999999999999</v>
      </c>
      <c r="Z91" s="110">
        <v>1596.2</v>
      </c>
      <c r="AA91" s="110"/>
      <c r="AB91" s="110">
        <f t="shared" si="254"/>
        <v>1596.2</v>
      </c>
      <c r="AC91" s="111">
        <f t="shared" si="255"/>
        <v>0</v>
      </c>
      <c r="AD91" s="110">
        <f t="shared" si="398"/>
        <v>1596.2</v>
      </c>
      <c r="AE91" s="110">
        <f t="shared" si="399"/>
        <v>100</v>
      </c>
      <c r="AF91" s="110">
        <f t="shared" si="256"/>
        <v>90.22</v>
      </c>
      <c r="AG91" s="110">
        <f t="shared" si="257"/>
        <v>399</v>
      </c>
      <c r="AH91" s="110">
        <f t="shared" si="258"/>
        <v>25</v>
      </c>
      <c r="AI91" s="129">
        <f t="shared" si="259"/>
        <v>133</v>
      </c>
      <c r="AJ91" s="110">
        <f t="shared" si="260"/>
        <v>8</v>
      </c>
      <c r="AM91" s="110">
        <f t="shared" si="261"/>
        <v>399.05</v>
      </c>
      <c r="AN91" s="110">
        <f t="shared" si="262"/>
        <v>24.35</v>
      </c>
      <c r="AQ91" s="110">
        <f t="shared" si="263"/>
        <v>798.05</v>
      </c>
      <c r="AR91" s="110">
        <f t="shared" si="264"/>
        <v>49.35</v>
      </c>
      <c r="AU91" s="110">
        <f t="shared" ref="AU91:AU154" si="401">ROUND(AD91*25%,2)</f>
        <v>399.05</v>
      </c>
      <c r="AV91" s="110">
        <f t="shared" si="136"/>
        <v>25</v>
      </c>
      <c r="AY91" s="110">
        <f t="shared" si="245"/>
        <v>1330.1</v>
      </c>
      <c r="AZ91" s="110">
        <f t="shared" si="246"/>
        <v>82.35</v>
      </c>
      <c r="BA91" s="110">
        <f t="shared" si="247"/>
        <v>1412.4499999999998</v>
      </c>
      <c r="BB91" s="142">
        <v>1216.96</v>
      </c>
      <c r="BC91" s="142">
        <v>79.38</v>
      </c>
      <c r="BD91" s="142">
        <f t="shared" si="248"/>
        <v>113.13999999999987</v>
      </c>
      <c r="BE91" s="142">
        <f t="shared" si="249"/>
        <v>2.9699999999999989</v>
      </c>
      <c r="BF91" s="142">
        <f t="shared" si="250"/>
        <v>243.39</v>
      </c>
      <c r="BG91" s="142">
        <f t="shared" si="251"/>
        <v>15.88</v>
      </c>
      <c r="BH91" s="110">
        <v>65.13</v>
      </c>
      <c r="BI91" s="110">
        <v>6.46</v>
      </c>
      <c r="BL91" s="110">
        <f t="shared" si="271"/>
        <v>1395.23</v>
      </c>
      <c r="BM91" s="110">
        <f t="shared" si="272"/>
        <v>88.809999999999988</v>
      </c>
      <c r="BN91" s="110">
        <f t="shared" si="273"/>
        <v>1484.04</v>
      </c>
      <c r="BO91" s="110">
        <v>1335.41</v>
      </c>
      <c r="BP91" s="129">
        <v>79.569999999999993</v>
      </c>
      <c r="BQ91" s="110">
        <f t="shared" si="274"/>
        <v>59.819999999999936</v>
      </c>
      <c r="BR91" s="110">
        <f t="shared" si="275"/>
        <v>9.2399999999999949</v>
      </c>
      <c r="BS91" s="110">
        <f t="shared" si="276"/>
        <v>121.4</v>
      </c>
      <c r="BT91" s="110">
        <f t="shared" si="277"/>
        <v>7.23</v>
      </c>
      <c r="BU91" s="110">
        <v>61.58</v>
      </c>
      <c r="BV91" s="110">
        <v>0</v>
      </c>
      <c r="BW91" s="110">
        <v>30</v>
      </c>
      <c r="BX91" s="110">
        <v>50</v>
      </c>
      <c r="CA91" s="110">
        <f t="shared" si="278"/>
        <v>1486.81</v>
      </c>
      <c r="CB91" s="110">
        <f t="shared" si="279"/>
        <v>138.81</v>
      </c>
    </row>
    <row r="92" spans="1:80" ht="18" x14ac:dyDescent="0.3">
      <c r="A92" s="13">
        <v>3</v>
      </c>
      <c r="B92" s="13"/>
      <c r="C92" s="14"/>
      <c r="D92" s="15" t="s">
        <v>140</v>
      </c>
      <c r="E92" s="16"/>
      <c r="F92" s="82">
        <v>628.55000000000018</v>
      </c>
      <c r="G92" s="82">
        <v>0</v>
      </c>
      <c r="H92" s="82">
        <v>688.72000000000014</v>
      </c>
      <c r="I92" s="17">
        <v>0</v>
      </c>
      <c r="J92" s="87">
        <v>750</v>
      </c>
      <c r="K92" s="88">
        <v>0</v>
      </c>
      <c r="L92" s="88">
        <v>0</v>
      </c>
      <c r="M92" s="88">
        <f t="shared" si="385"/>
        <v>750</v>
      </c>
      <c r="N92" s="88">
        <v>0</v>
      </c>
      <c r="O92" s="88">
        <v>0</v>
      </c>
      <c r="P92" s="88">
        <v>0</v>
      </c>
      <c r="Q92" s="88">
        <f t="shared" si="386"/>
        <v>0</v>
      </c>
      <c r="R92" s="88">
        <v>0</v>
      </c>
      <c r="S92" s="88">
        <v>0</v>
      </c>
      <c r="V92" s="17">
        <f t="shared" ref="V92" si="402">ROUND(H92*1.0583,2)</f>
        <v>728.87</v>
      </c>
      <c r="W92" s="17">
        <f t="shared" ref="W92" si="403">ROUND(I92*1.0327,2)</f>
        <v>0</v>
      </c>
      <c r="X92" s="110">
        <f t="shared" si="252"/>
        <v>-728.87</v>
      </c>
      <c r="Y92" s="110">
        <f t="shared" si="253"/>
        <v>0</v>
      </c>
      <c r="Z92" s="111">
        <v>800</v>
      </c>
      <c r="AA92" s="110"/>
      <c r="AB92" s="110">
        <f t="shared" si="254"/>
        <v>800</v>
      </c>
      <c r="AC92" s="111">
        <f t="shared" si="255"/>
        <v>0</v>
      </c>
      <c r="AD92" s="111">
        <f>IF(X92&gt;0,V92,R92)+800</f>
        <v>800</v>
      </c>
      <c r="AE92" s="110">
        <f t="shared" ref="AE92" si="404">IF(Y92&gt;0,W92,S92)</f>
        <v>0</v>
      </c>
      <c r="AF92" s="110">
        <f t="shared" si="256"/>
        <v>0</v>
      </c>
      <c r="AG92" s="110">
        <f>ROUND(AD92/4,0)-200</f>
        <v>0</v>
      </c>
      <c r="AH92" s="110">
        <f t="shared" si="258"/>
        <v>0</v>
      </c>
      <c r="AI92" s="129">
        <f>ROUND(AD92/12,0)-67</f>
        <v>0</v>
      </c>
      <c r="AJ92" s="110">
        <f t="shared" si="260"/>
        <v>0</v>
      </c>
      <c r="AK92" s="146">
        <v>200</v>
      </c>
      <c r="AM92" s="110">
        <f t="shared" si="261"/>
        <v>200</v>
      </c>
      <c r="AN92" s="110">
        <f t="shared" si="262"/>
        <v>0</v>
      </c>
      <c r="AQ92" s="110">
        <f t="shared" si="263"/>
        <v>400</v>
      </c>
      <c r="AR92" s="110">
        <f t="shared" si="264"/>
        <v>0</v>
      </c>
      <c r="AU92" s="110">
        <f t="shared" si="401"/>
        <v>200</v>
      </c>
      <c r="AV92" s="110">
        <f t="shared" si="136"/>
        <v>0</v>
      </c>
      <c r="AY92" s="110">
        <f t="shared" si="245"/>
        <v>600</v>
      </c>
      <c r="AZ92" s="110">
        <f t="shared" si="246"/>
        <v>0</v>
      </c>
      <c r="BA92" s="110">
        <f t="shared" si="247"/>
        <v>600</v>
      </c>
      <c r="BB92" s="142">
        <v>600</v>
      </c>
      <c r="BD92" s="142">
        <f t="shared" si="248"/>
        <v>0</v>
      </c>
      <c r="BE92" s="142">
        <f t="shared" si="249"/>
        <v>0</v>
      </c>
      <c r="BF92" s="142">
        <f t="shared" si="250"/>
        <v>120</v>
      </c>
      <c r="BG92" s="142">
        <f t="shared" si="251"/>
        <v>0</v>
      </c>
      <c r="BH92" s="110">
        <v>50</v>
      </c>
      <c r="BI92" s="110">
        <v>0</v>
      </c>
      <c r="BL92" s="110">
        <f t="shared" si="271"/>
        <v>650</v>
      </c>
      <c r="BM92" s="110">
        <f t="shared" si="272"/>
        <v>0</v>
      </c>
      <c r="BN92" s="110">
        <f t="shared" si="273"/>
        <v>650</v>
      </c>
      <c r="BO92" s="110">
        <v>600</v>
      </c>
      <c r="BP92" s="129"/>
      <c r="BQ92" s="110">
        <f t="shared" si="274"/>
        <v>50</v>
      </c>
      <c r="BR92" s="110">
        <f t="shared" si="275"/>
        <v>0</v>
      </c>
      <c r="BS92" s="110">
        <f t="shared" si="276"/>
        <v>54.55</v>
      </c>
      <c r="BT92" s="110">
        <f t="shared" si="277"/>
        <v>0</v>
      </c>
      <c r="BU92" s="110">
        <f t="shared" si="287"/>
        <v>4.5499999999999972</v>
      </c>
      <c r="BV92" s="110">
        <f>ROUND(BT92-BR92,2)</f>
        <v>0</v>
      </c>
      <c r="CA92" s="110">
        <f t="shared" si="278"/>
        <v>654.54999999999995</v>
      </c>
      <c r="CB92" s="110">
        <f t="shared" si="279"/>
        <v>0</v>
      </c>
    </row>
    <row r="93" spans="1:80" ht="18" x14ac:dyDescent="0.3">
      <c r="A93" s="18"/>
      <c r="B93" s="18" t="s">
        <v>141</v>
      </c>
      <c r="C93" s="19" t="s">
        <v>85</v>
      </c>
      <c r="D93" s="20" t="s">
        <v>139</v>
      </c>
      <c r="E93" s="21" t="s">
        <v>142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9">
        <f t="shared" ref="J93:AA93" si="405">+J91+J92</f>
        <v>2100</v>
      </c>
      <c r="K93" s="89">
        <f t="shared" si="405"/>
        <v>300</v>
      </c>
      <c r="L93" s="89">
        <f t="shared" si="405"/>
        <v>0</v>
      </c>
      <c r="M93" s="89">
        <f t="shared" si="405"/>
        <v>2400</v>
      </c>
      <c r="N93" s="89">
        <f t="shared" si="405"/>
        <v>0</v>
      </c>
      <c r="O93" s="89">
        <f t="shared" si="405"/>
        <v>0</v>
      </c>
      <c r="P93" s="89">
        <f t="shared" si="405"/>
        <v>0</v>
      </c>
      <c r="Q93" s="89">
        <f t="shared" si="405"/>
        <v>0</v>
      </c>
      <c r="R93" s="89">
        <f t="shared" si="405"/>
        <v>1650</v>
      </c>
      <c r="S93" s="89">
        <f t="shared" si="405"/>
        <v>100</v>
      </c>
      <c r="T93" s="89">
        <f t="shared" si="405"/>
        <v>0</v>
      </c>
      <c r="U93" s="89">
        <f t="shared" si="405"/>
        <v>0</v>
      </c>
      <c r="V93" s="89">
        <f t="shared" si="405"/>
        <v>2325.0700000000002</v>
      </c>
      <c r="W93" s="89">
        <f t="shared" si="405"/>
        <v>206.54</v>
      </c>
      <c r="X93" s="89">
        <f t="shared" si="405"/>
        <v>-675.07</v>
      </c>
      <c r="Y93" s="89">
        <f t="shared" si="405"/>
        <v>-106.53999999999999</v>
      </c>
      <c r="Z93" s="89">
        <f t="shared" si="405"/>
        <v>2396.1999999999998</v>
      </c>
      <c r="AA93" s="89">
        <f t="shared" si="405"/>
        <v>0</v>
      </c>
      <c r="AB93" s="22">
        <f t="shared" si="254"/>
        <v>2396.1999999999998</v>
      </c>
      <c r="AC93" s="111">
        <f t="shared" si="255"/>
        <v>0</v>
      </c>
      <c r="AD93" s="22">
        <f t="shared" ref="AD93:CB93" si="406">+AD91+AD92</f>
        <v>2396.1999999999998</v>
      </c>
      <c r="AE93" s="22">
        <f t="shared" si="406"/>
        <v>100</v>
      </c>
      <c r="AF93" s="22">
        <f t="shared" si="406"/>
        <v>90.22</v>
      </c>
      <c r="AG93" s="22">
        <f t="shared" si="406"/>
        <v>399</v>
      </c>
      <c r="AH93" s="22">
        <f t="shared" si="406"/>
        <v>25</v>
      </c>
      <c r="AI93" s="120">
        <f t="shared" si="406"/>
        <v>133</v>
      </c>
      <c r="AJ93" s="22">
        <f t="shared" si="406"/>
        <v>8</v>
      </c>
      <c r="AK93" s="22">
        <f t="shared" si="406"/>
        <v>200</v>
      </c>
      <c r="AL93" s="22">
        <f t="shared" si="406"/>
        <v>0</v>
      </c>
      <c r="AM93" s="22">
        <f t="shared" si="406"/>
        <v>599.04999999999995</v>
      </c>
      <c r="AN93" s="22">
        <f t="shared" si="406"/>
        <v>24.35</v>
      </c>
      <c r="AO93" s="22">
        <f t="shared" si="406"/>
        <v>0</v>
      </c>
      <c r="AP93" s="22">
        <f t="shared" si="406"/>
        <v>0</v>
      </c>
      <c r="AQ93" s="22">
        <f t="shared" si="406"/>
        <v>1198.05</v>
      </c>
      <c r="AR93" s="22">
        <f t="shared" si="406"/>
        <v>49.35</v>
      </c>
      <c r="AS93" s="22">
        <f t="shared" si="406"/>
        <v>0</v>
      </c>
      <c r="AT93" s="22">
        <f t="shared" si="406"/>
        <v>0</v>
      </c>
      <c r="AU93" s="22">
        <f t="shared" si="406"/>
        <v>599.04999999999995</v>
      </c>
      <c r="AV93" s="22">
        <f t="shared" si="406"/>
        <v>25</v>
      </c>
      <c r="AW93" s="22">
        <f t="shared" si="406"/>
        <v>0</v>
      </c>
      <c r="AX93" s="22">
        <f t="shared" si="406"/>
        <v>0</v>
      </c>
      <c r="AY93" s="22">
        <f t="shared" si="406"/>
        <v>1930.1</v>
      </c>
      <c r="AZ93" s="22">
        <f t="shared" si="406"/>
        <v>82.35</v>
      </c>
      <c r="BA93" s="22">
        <f t="shared" si="406"/>
        <v>2012.4499999999998</v>
      </c>
      <c r="BB93" s="22">
        <f t="shared" si="406"/>
        <v>1816.96</v>
      </c>
      <c r="BC93" s="22">
        <f t="shared" si="406"/>
        <v>79.38</v>
      </c>
      <c r="BD93" s="22">
        <f t="shared" si="406"/>
        <v>113.13999999999987</v>
      </c>
      <c r="BE93" s="22">
        <f t="shared" si="406"/>
        <v>2.9699999999999989</v>
      </c>
      <c r="BF93" s="22">
        <f t="shared" si="406"/>
        <v>363.39</v>
      </c>
      <c r="BG93" s="120">
        <f t="shared" si="406"/>
        <v>15.88</v>
      </c>
      <c r="BH93" s="120">
        <f t="shared" si="406"/>
        <v>115.13</v>
      </c>
      <c r="BI93" s="120">
        <f t="shared" si="406"/>
        <v>6.46</v>
      </c>
      <c r="BJ93" s="120">
        <f t="shared" si="406"/>
        <v>0</v>
      </c>
      <c r="BK93" s="120">
        <f t="shared" si="406"/>
        <v>0</v>
      </c>
      <c r="BL93" s="120">
        <f t="shared" si="406"/>
        <v>2045.23</v>
      </c>
      <c r="BM93" s="120">
        <f t="shared" si="406"/>
        <v>88.809999999999988</v>
      </c>
      <c r="BN93" s="120">
        <f t="shared" si="406"/>
        <v>2134.04</v>
      </c>
      <c r="BO93" s="120">
        <f t="shared" si="406"/>
        <v>1935.41</v>
      </c>
      <c r="BP93" s="120">
        <f t="shared" si="406"/>
        <v>79.569999999999993</v>
      </c>
      <c r="BQ93" s="22">
        <f t="shared" si="406"/>
        <v>109.81999999999994</v>
      </c>
      <c r="BR93" s="22">
        <f t="shared" si="406"/>
        <v>9.2399999999999949</v>
      </c>
      <c r="BS93" s="22">
        <f t="shared" si="406"/>
        <v>175.95</v>
      </c>
      <c r="BT93" s="22">
        <f t="shared" si="406"/>
        <v>7.23</v>
      </c>
      <c r="BU93" s="22">
        <f t="shared" si="406"/>
        <v>66.13</v>
      </c>
      <c r="BV93" s="22">
        <f t="shared" si="406"/>
        <v>0</v>
      </c>
      <c r="BW93" s="22">
        <f t="shared" si="406"/>
        <v>30</v>
      </c>
      <c r="BX93" s="22">
        <f t="shared" si="406"/>
        <v>50</v>
      </c>
      <c r="BY93" s="22">
        <f t="shared" si="406"/>
        <v>0</v>
      </c>
      <c r="BZ93" s="22">
        <f t="shared" si="406"/>
        <v>0</v>
      </c>
      <c r="CA93" s="22">
        <f t="shared" si="406"/>
        <v>2141.3599999999997</v>
      </c>
      <c r="CB93" s="22">
        <f t="shared" si="406"/>
        <v>138.81</v>
      </c>
    </row>
    <row r="94" spans="1:80" ht="18" x14ac:dyDescent="0.3">
      <c r="A94" s="18">
        <v>4</v>
      </c>
      <c r="B94" s="18" t="s">
        <v>143</v>
      </c>
      <c r="C94" s="19" t="s">
        <v>45</v>
      </c>
      <c r="D94" s="20" t="s">
        <v>144</v>
      </c>
      <c r="E94" s="21" t="s">
        <v>145</v>
      </c>
      <c r="F94" s="82">
        <v>1639.32</v>
      </c>
      <c r="G94" s="82">
        <v>407.3</v>
      </c>
      <c r="H94" s="82">
        <v>1639.32</v>
      </c>
      <c r="I94" s="22">
        <v>407.3</v>
      </c>
      <c r="J94" s="89">
        <v>2124.9960000000001</v>
      </c>
      <c r="K94" s="89">
        <v>0</v>
      </c>
      <c r="L94" s="89">
        <v>0</v>
      </c>
      <c r="M94" s="89">
        <f t="shared" si="385"/>
        <v>2124.9960000000001</v>
      </c>
      <c r="N94" s="89">
        <v>0</v>
      </c>
      <c r="O94" s="89">
        <v>0</v>
      </c>
      <c r="P94" s="89">
        <v>0</v>
      </c>
      <c r="Q94" s="89">
        <f t="shared" ref="Q94:Q97" si="407">N94+O94+P94</f>
        <v>0</v>
      </c>
      <c r="R94" s="89">
        <f>+Q94+M94</f>
        <v>2124.9960000000001</v>
      </c>
      <c r="S94" s="89">
        <v>660</v>
      </c>
      <c r="V94" s="22">
        <f t="shared" ref="V94:V96" si="408">ROUND(H94*1.0583,2)</f>
        <v>1734.89</v>
      </c>
      <c r="W94" s="22">
        <f t="shared" ref="W94:W96" si="409">ROUND(I94*1.0327,2)</f>
        <v>420.62</v>
      </c>
      <c r="X94" s="22">
        <f t="shared" si="252"/>
        <v>390.10599999999999</v>
      </c>
      <c r="Y94" s="22">
        <f t="shared" si="253"/>
        <v>239.38</v>
      </c>
      <c r="Z94" s="22">
        <v>1734.89</v>
      </c>
      <c r="AA94" s="22"/>
      <c r="AB94" s="22">
        <f t="shared" si="254"/>
        <v>1734.89</v>
      </c>
      <c r="AC94" s="111">
        <f t="shared" si="255"/>
        <v>0</v>
      </c>
      <c r="AD94" s="22">
        <f t="shared" ref="AD94:AD96" si="410">IF(X94&gt;0,V94,R94)</f>
        <v>1734.89</v>
      </c>
      <c r="AE94" s="22">
        <f t="shared" ref="AE94:AE96" si="411">IF(Y94&gt;0,W94,S94)</f>
        <v>420.62</v>
      </c>
      <c r="AF94" s="22">
        <f t="shared" si="256"/>
        <v>595.45000000000005</v>
      </c>
      <c r="AG94" s="110">
        <f t="shared" si="257"/>
        <v>434</v>
      </c>
      <c r="AH94" s="110">
        <f t="shared" si="258"/>
        <v>105</v>
      </c>
      <c r="AI94" s="129">
        <f t="shared" si="259"/>
        <v>145</v>
      </c>
      <c r="AJ94" s="110">
        <f t="shared" si="260"/>
        <v>35</v>
      </c>
      <c r="AM94" s="110">
        <f t="shared" si="261"/>
        <v>433.72</v>
      </c>
      <c r="AN94" s="110">
        <f t="shared" si="262"/>
        <v>102.42</v>
      </c>
      <c r="AQ94" s="110">
        <f t="shared" si="263"/>
        <v>867.72</v>
      </c>
      <c r="AR94" s="110">
        <f t="shared" si="264"/>
        <v>207.42000000000002</v>
      </c>
      <c r="AS94" s="118"/>
      <c r="AT94" s="118">
        <v>50</v>
      </c>
      <c r="AU94" s="118">
        <f t="shared" si="401"/>
        <v>433.72</v>
      </c>
      <c r="AV94" s="118">
        <f t="shared" si="136"/>
        <v>105.16</v>
      </c>
      <c r="AW94" s="118"/>
      <c r="AX94" s="146">
        <f>150+70</f>
        <v>220</v>
      </c>
      <c r="AY94" s="110">
        <f t="shared" si="245"/>
        <v>1446.44</v>
      </c>
      <c r="AZ94" s="110">
        <f t="shared" si="246"/>
        <v>617.58000000000004</v>
      </c>
      <c r="BA94" s="110">
        <f t="shared" si="247"/>
        <v>2064.02</v>
      </c>
      <c r="BB94" s="142">
        <v>1385.79</v>
      </c>
      <c r="BC94" s="142">
        <v>589.89</v>
      </c>
      <c r="BD94" s="142">
        <f t="shared" si="248"/>
        <v>60.650000000000091</v>
      </c>
      <c r="BE94" s="142">
        <f t="shared" si="249"/>
        <v>27.690000000000055</v>
      </c>
      <c r="BF94" s="142">
        <f t="shared" si="250"/>
        <v>277.16000000000003</v>
      </c>
      <c r="BG94" s="142">
        <f t="shared" si="251"/>
        <v>117.98</v>
      </c>
      <c r="BH94" s="110">
        <v>108.26</v>
      </c>
      <c r="BI94" s="110">
        <v>0</v>
      </c>
      <c r="BL94" s="110">
        <f t="shared" si="271"/>
        <v>1554.7</v>
      </c>
      <c r="BM94" s="110">
        <f t="shared" si="272"/>
        <v>617.58000000000004</v>
      </c>
      <c r="BN94" s="110">
        <f t="shared" si="273"/>
        <v>2172.2800000000002</v>
      </c>
      <c r="BO94" s="110">
        <v>1531.62</v>
      </c>
      <c r="BP94" s="129">
        <v>615.53</v>
      </c>
      <c r="BQ94" s="110">
        <f t="shared" si="274"/>
        <v>23.080000000000155</v>
      </c>
      <c r="BR94" s="110">
        <f t="shared" si="275"/>
        <v>2.0500000000000682</v>
      </c>
      <c r="BS94" s="110">
        <f t="shared" si="276"/>
        <v>139.24</v>
      </c>
      <c r="BT94" s="110">
        <f t="shared" si="277"/>
        <v>55.96</v>
      </c>
      <c r="BU94" s="110">
        <f t="shared" si="287"/>
        <v>116.15999999999985</v>
      </c>
      <c r="BV94" s="110">
        <f t="shared" ref="BV94:BV106" si="412">ROUND(BT94-BR94,2)</f>
        <v>53.91</v>
      </c>
      <c r="BX94" s="110">
        <v>51.49</v>
      </c>
      <c r="CA94" s="110">
        <f t="shared" si="278"/>
        <v>1670.86</v>
      </c>
      <c r="CB94" s="110">
        <f t="shared" si="279"/>
        <v>722.98</v>
      </c>
    </row>
    <row r="95" spans="1:80" ht="18" x14ac:dyDescent="0.3">
      <c r="A95" s="18">
        <v>5</v>
      </c>
      <c r="B95" s="18" t="s">
        <v>146</v>
      </c>
      <c r="C95" s="19" t="s">
        <v>147</v>
      </c>
      <c r="D95" s="20" t="s">
        <v>148</v>
      </c>
      <c r="E95" s="21" t="s">
        <v>149</v>
      </c>
      <c r="F95" s="82">
        <v>465.8</v>
      </c>
      <c r="G95" s="82">
        <v>8.7099999999999991</v>
      </c>
      <c r="H95" s="82">
        <v>465.8</v>
      </c>
      <c r="I95" s="22">
        <v>8.7099999999999991</v>
      </c>
      <c r="J95" s="89">
        <v>650</v>
      </c>
      <c r="K95" s="89">
        <v>0</v>
      </c>
      <c r="L95" s="89">
        <v>0</v>
      </c>
      <c r="M95" s="89">
        <f t="shared" si="385"/>
        <v>650</v>
      </c>
      <c r="N95" s="89">
        <v>0</v>
      </c>
      <c r="O95" s="89">
        <v>0</v>
      </c>
      <c r="P95" s="89">
        <v>0</v>
      </c>
      <c r="Q95" s="89">
        <f t="shared" si="407"/>
        <v>0</v>
      </c>
      <c r="R95" s="89">
        <f>+Q95+M95</f>
        <v>650</v>
      </c>
      <c r="S95" s="89">
        <v>70</v>
      </c>
      <c r="V95" s="22">
        <f t="shared" si="408"/>
        <v>492.96</v>
      </c>
      <c r="W95" s="22">
        <f t="shared" si="409"/>
        <v>8.99</v>
      </c>
      <c r="X95" s="22">
        <f t="shared" si="252"/>
        <v>157.04000000000002</v>
      </c>
      <c r="Y95" s="22">
        <f t="shared" si="253"/>
        <v>61.01</v>
      </c>
      <c r="Z95" s="22">
        <v>492.96</v>
      </c>
      <c r="AA95" s="22"/>
      <c r="AB95" s="22">
        <f t="shared" si="254"/>
        <v>492.96</v>
      </c>
      <c r="AC95" s="111">
        <f t="shared" si="255"/>
        <v>0</v>
      </c>
      <c r="AD95" s="22">
        <f t="shared" si="410"/>
        <v>492.96</v>
      </c>
      <c r="AE95" s="22">
        <f>IF(Y95&gt;0,W95,S95)+75.2</f>
        <v>84.19</v>
      </c>
      <c r="AF95" s="22">
        <f t="shared" si="256"/>
        <v>63.15</v>
      </c>
      <c r="AG95" s="110">
        <f t="shared" si="257"/>
        <v>123</v>
      </c>
      <c r="AH95" s="110">
        <f>ROUND(AE95/4,0)-19+80</f>
        <v>82</v>
      </c>
      <c r="AI95" s="129">
        <f t="shared" si="259"/>
        <v>41</v>
      </c>
      <c r="AJ95" s="110">
        <f>ROUND(AE95/12,0)-6</f>
        <v>1</v>
      </c>
      <c r="AM95" s="110">
        <f t="shared" si="261"/>
        <v>123.24</v>
      </c>
      <c r="AN95" s="110">
        <f>ROUND(AE95*24.35%,2)-18.31</f>
        <v>2.1900000000000013</v>
      </c>
      <c r="AQ95" s="110">
        <f t="shared" si="263"/>
        <v>246.24</v>
      </c>
      <c r="AR95" s="110">
        <f t="shared" si="264"/>
        <v>84.19</v>
      </c>
      <c r="AS95" s="118"/>
      <c r="AT95" s="118"/>
      <c r="AU95" s="118">
        <f t="shared" si="401"/>
        <v>123.24</v>
      </c>
      <c r="AV95" s="118">
        <f>ROUND(AE95*25%,2)+4.25</f>
        <v>25.3</v>
      </c>
      <c r="AW95" s="118"/>
      <c r="AX95" s="146">
        <v>31.44</v>
      </c>
      <c r="AY95" s="110">
        <f t="shared" si="245"/>
        <v>410.48</v>
      </c>
      <c r="AZ95" s="110">
        <f t="shared" si="246"/>
        <v>141.93</v>
      </c>
      <c r="BA95" s="110">
        <f t="shared" si="247"/>
        <v>552.41000000000008</v>
      </c>
      <c r="BB95" s="142">
        <v>405.67</v>
      </c>
      <c r="BC95" s="142">
        <v>134.16</v>
      </c>
      <c r="BD95" s="142">
        <f t="shared" si="248"/>
        <v>4.8100000000000023</v>
      </c>
      <c r="BE95" s="142">
        <f t="shared" si="249"/>
        <v>7.7700000000000102</v>
      </c>
      <c r="BF95" s="142">
        <f t="shared" si="250"/>
        <v>81.13</v>
      </c>
      <c r="BG95" s="142">
        <f t="shared" si="251"/>
        <v>26.83</v>
      </c>
      <c r="BH95" s="110">
        <v>38.159999999999997</v>
      </c>
      <c r="BI95" s="146">
        <v>0</v>
      </c>
      <c r="BJ95" s="146"/>
      <c r="BK95" s="146"/>
      <c r="BL95" s="110">
        <f t="shared" si="271"/>
        <v>448.64</v>
      </c>
      <c r="BM95" s="110">
        <f t="shared" si="272"/>
        <v>141.93</v>
      </c>
      <c r="BN95" s="110">
        <f t="shared" si="273"/>
        <v>590.56999999999994</v>
      </c>
      <c r="BO95" s="110">
        <v>444.51</v>
      </c>
      <c r="BP95" s="129">
        <v>144.97</v>
      </c>
      <c r="BQ95" s="110">
        <f t="shared" si="274"/>
        <v>4.1299999999999955</v>
      </c>
      <c r="BR95" s="110">
        <f t="shared" si="275"/>
        <v>-3.039999999999992</v>
      </c>
      <c r="BS95" s="110">
        <f t="shared" si="276"/>
        <v>40.409999999999997</v>
      </c>
      <c r="BT95" s="110">
        <f t="shared" si="277"/>
        <v>13.18</v>
      </c>
      <c r="BU95" s="110">
        <f t="shared" si="287"/>
        <v>36.28</v>
      </c>
      <c r="BV95" s="110">
        <f t="shared" si="412"/>
        <v>16.22</v>
      </c>
      <c r="BX95" s="110">
        <v>3.3</v>
      </c>
      <c r="CA95" s="110">
        <f t="shared" si="278"/>
        <v>484.91999999999996</v>
      </c>
      <c r="CB95" s="110">
        <f t="shared" si="279"/>
        <v>161.45000000000002</v>
      </c>
    </row>
    <row r="96" spans="1:80" ht="18" x14ac:dyDescent="0.3">
      <c r="A96" s="13">
        <v>6</v>
      </c>
      <c r="B96" s="13"/>
      <c r="C96" s="14"/>
      <c r="D96" s="15" t="s">
        <v>150</v>
      </c>
      <c r="E96" s="16"/>
      <c r="F96" s="82">
        <v>2921.78</v>
      </c>
      <c r="G96" s="82">
        <v>2955.42</v>
      </c>
      <c r="H96" s="82">
        <v>2921.78</v>
      </c>
      <c r="I96" s="17">
        <v>2955.42</v>
      </c>
      <c r="J96" s="87">
        <v>3400</v>
      </c>
      <c r="K96" s="88">
        <v>0</v>
      </c>
      <c r="L96" s="88">
        <v>0</v>
      </c>
      <c r="M96" s="88">
        <f t="shared" si="385"/>
        <v>3400</v>
      </c>
      <c r="N96" s="88">
        <v>0</v>
      </c>
      <c r="O96" s="88">
        <v>0</v>
      </c>
      <c r="P96" s="88">
        <v>0</v>
      </c>
      <c r="Q96" s="88">
        <f t="shared" si="407"/>
        <v>0</v>
      </c>
      <c r="R96" s="88">
        <f t="shared" ref="R96:R112" si="413">Q96+M96</f>
        <v>3400</v>
      </c>
      <c r="S96" s="88">
        <v>3500</v>
      </c>
      <c r="V96" s="17">
        <f t="shared" si="408"/>
        <v>3092.12</v>
      </c>
      <c r="W96" s="17">
        <f t="shared" si="409"/>
        <v>3052.06</v>
      </c>
      <c r="X96" s="110">
        <f t="shared" si="252"/>
        <v>307.88000000000011</v>
      </c>
      <c r="Y96" s="110">
        <f t="shared" si="253"/>
        <v>447.94000000000005</v>
      </c>
      <c r="Z96" s="110">
        <v>3092.12</v>
      </c>
      <c r="AA96" s="110"/>
      <c r="AB96" s="110">
        <f t="shared" si="254"/>
        <v>3092.12</v>
      </c>
      <c r="AC96" s="111">
        <f t="shared" si="255"/>
        <v>0</v>
      </c>
      <c r="AD96" s="110">
        <f t="shared" si="410"/>
        <v>3092.12</v>
      </c>
      <c r="AE96" s="110">
        <f t="shared" si="411"/>
        <v>3052.06</v>
      </c>
      <c r="AF96" s="110">
        <f t="shared" si="256"/>
        <v>3157.7</v>
      </c>
      <c r="AG96" s="110">
        <f t="shared" si="257"/>
        <v>773</v>
      </c>
      <c r="AH96" s="110">
        <f t="shared" si="258"/>
        <v>763</v>
      </c>
      <c r="AI96" s="129">
        <f t="shared" si="259"/>
        <v>258</v>
      </c>
      <c r="AJ96" s="110">
        <f t="shared" si="260"/>
        <v>254</v>
      </c>
      <c r="AM96" s="110">
        <f t="shared" si="261"/>
        <v>773.03</v>
      </c>
      <c r="AN96" s="110">
        <f t="shared" si="262"/>
        <v>743.18</v>
      </c>
      <c r="AQ96" s="110">
        <f t="shared" si="263"/>
        <v>1546.03</v>
      </c>
      <c r="AR96" s="110">
        <f t="shared" si="264"/>
        <v>1506.1799999999998</v>
      </c>
      <c r="AS96" s="118"/>
      <c r="AT96" s="118"/>
      <c r="AU96" s="118">
        <f t="shared" si="401"/>
        <v>773.03</v>
      </c>
      <c r="AV96" s="118">
        <f t="shared" si="136"/>
        <v>763.02</v>
      </c>
      <c r="AW96" s="118"/>
      <c r="AX96" s="146">
        <v>438.97</v>
      </c>
      <c r="AY96" s="110">
        <f t="shared" si="245"/>
        <v>2577.06</v>
      </c>
      <c r="AZ96" s="110">
        <f t="shared" si="246"/>
        <v>2962.17</v>
      </c>
      <c r="BA96" s="110">
        <f t="shared" si="247"/>
        <v>5539.23</v>
      </c>
      <c r="BB96" s="142">
        <v>2457.75</v>
      </c>
      <c r="BC96" s="142">
        <v>2738.5</v>
      </c>
      <c r="BD96" s="142">
        <f t="shared" si="248"/>
        <v>119.30999999999995</v>
      </c>
      <c r="BE96" s="142">
        <f t="shared" si="249"/>
        <v>223.67000000000007</v>
      </c>
      <c r="BF96" s="142">
        <f t="shared" si="250"/>
        <v>491.55</v>
      </c>
      <c r="BG96" s="142">
        <f t="shared" si="251"/>
        <v>547.70000000000005</v>
      </c>
      <c r="BH96" s="110">
        <v>186.12</v>
      </c>
      <c r="BI96" s="110">
        <v>162.02000000000001</v>
      </c>
      <c r="BL96" s="110">
        <f t="shared" si="271"/>
        <v>2763.18</v>
      </c>
      <c r="BM96" s="110">
        <f t="shared" si="272"/>
        <v>3124.19</v>
      </c>
      <c r="BN96" s="110">
        <f t="shared" si="273"/>
        <v>5887.37</v>
      </c>
      <c r="BO96" s="110">
        <v>2703.8</v>
      </c>
      <c r="BP96" s="129">
        <v>2778.95</v>
      </c>
      <c r="BQ96" s="110">
        <f t="shared" si="274"/>
        <v>59.379999999999654</v>
      </c>
      <c r="BR96" s="110">
        <f t="shared" si="275"/>
        <v>345.24000000000024</v>
      </c>
      <c r="BS96" s="110">
        <f t="shared" si="276"/>
        <v>245.8</v>
      </c>
      <c r="BT96" s="110">
        <f t="shared" si="277"/>
        <v>252.63</v>
      </c>
      <c r="BU96" s="110">
        <f t="shared" si="287"/>
        <v>186.42000000000036</v>
      </c>
      <c r="BV96" s="110">
        <v>0</v>
      </c>
      <c r="BW96" s="111">
        <v>53.58</v>
      </c>
      <c r="BX96" s="110">
        <v>300</v>
      </c>
      <c r="CA96" s="110">
        <f t="shared" si="278"/>
        <v>3003.1800000000003</v>
      </c>
      <c r="CB96" s="110">
        <f t="shared" si="279"/>
        <v>3424.19</v>
      </c>
    </row>
    <row r="97" spans="1:80" ht="18" x14ac:dyDescent="0.3">
      <c r="A97" s="13">
        <v>7</v>
      </c>
      <c r="B97" s="13"/>
      <c r="C97" s="14"/>
      <c r="D97" s="15" t="s">
        <v>151</v>
      </c>
      <c r="E97" s="16"/>
      <c r="F97" s="82">
        <v>379.03999999999996</v>
      </c>
      <c r="G97" s="82">
        <v>0</v>
      </c>
      <c r="H97" s="82">
        <v>420.03999999999996</v>
      </c>
      <c r="I97" s="17">
        <v>0</v>
      </c>
      <c r="J97" s="87">
        <v>497.08</v>
      </c>
      <c r="K97" s="88">
        <v>0</v>
      </c>
      <c r="L97" s="88">
        <v>0</v>
      </c>
      <c r="M97" s="88">
        <f t="shared" si="385"/>
        <v>497.08</v>
      </c>
      <c r="N97" s="88">
        <v>0</v>
      </c>
      <c r="O97" s="88">
        <v>0</v>
      </c>
      <c r="P97" s="88">
        <v>0</v>
      </c>
      <c r="Q97" s="88">
        <f t="shared" si="407"/>
        <v>0</v>
      </c>
      <c r="R97" s="88">
        <f t="shared" si="413"/>
        <v>497.08</v>
      </c>
      <c r="S97" s="88">
        <v>0</v>
      </c>
      <c r="V97" s="17">
        <f t="shared" ref="V97" si="414">ROUND(H97*1.0583,2)</f>
        <v>444.53</v>
      </c>
      <c r="W97" s="17">
        <f t="shared" ref="W97" si="415">ROUND(I97*1.0327,2)</f>
        <v>0</v>
      </c>
      <c r="X97" s="110">
        <f t="shared" si="252"/>
        <v>52.550000000000011</v>
      </c>
      <c r="Y97" s="110">
        <f t="shared" si="253"/>
        <v>0</v>
      </c>
      <c r="Z97" s="110">
        <v>444.53</v>
      </c>
      <c r="AA97" s="110"/>
      <c r="AB97" s="110">
        <f t="shared" si="254"/>
        <v>444.53</v>
      </c>
      <c r="AC97" s="111">
        <f t="shared" si="255"/>
        <v>0</v>
      </c>
      <c r="AD97" s="110">
        <f t="shared" ref="AD97" si="416">IF(X97&gt;0,V97,R97)</f>
        <v>444.53</v>
      </c>
      <c r="AE97" s="110">
        <f t="shared" ref="AE97" si="417">IF(Y97&gt;0,W97,S97)</f>
        <v>0</v>
      </c>
      <c r="AF97" s="110">
        <f t="shared" si="256"/>
        <v>0</v>
      </c>
      <c r="AG97" s="110">
        <f t="shared" si="257"/>
        <v>111</v>
      </c>
      <c r="AH97" s="110">
        <f t="shared" si="258"/>
        <v>0</v>
      </c>
      <c r="AI97" s="129">
        <f t="shared" si="259"/>
        <v>37</v>
      </c>
      <c r="AJ97" s="110">
        <f t="shared" si="260"/>
        <v>0</v>
      </c>
      <c r="AM97" s="110">
        <f t="shared" si="261"/>
        <v>111.13</v>
      </c>
      <c r="AN97" s="110">
        <f t="shared" si="262"/>
        <v>0</v>
      </c>
      <c r="AQ97" s="110">
        <f t="shared" si="263"/>
        <v>222.13</v>
      </c>
      <c r="AR97" s="110">
        <f t="shared" si="264"/>
        <v>0</v>
      </c>
      <c r="AS97" s="118"/>
      <c r="AT97" s="118"/>
      <c r="AU97" s="118">
        <f t="shared" si="401"/>
        <v>111.13</v>
      </c>
      <c r="AV97" s="118">
        <f t="shared" si="136"/>
        <v>0</v>
      </c>
      <c r="AW97" s="118"/>
      <c r="AX97" s="118"/>
      <c r="AY97" s="110">
        <f t="shared" si="245"/>
        <v>370.26</v>
      </c>
      <c r="AZ97" s="110">
        <f t="shared" si="246"/>
        <v>0</v>
      </c>
      <c r="BA97" s="110">
        <f t="shared" si="247"/>
        <v>370.26</v>
      </c>
      <c r="BB97" s="142">
        <v>333.26</v>
      </c>
      <c r="BD97" s="142">
        <f t="shared" si="248"/>
        <v>37</v>
      </c>
      <c r="BE97" s="142">
        <f t="shared" si="249"/>
        <v>0</v>
      </c>
      <c r="BF97" s="142">
        <f t="shared" si="250"/>
        <v>66.650000000000006</v>
      </c>
      <c r="BG97" s="142">
        <f t="shared" si="251"/>
        <v>0</v>
      </c>
      <c r="BH97" s="110">
        <v>14.83</v>
      </c>
      <c r="BI97" s="110">
        <v>0</v>
      </c>
      <c r="BL97" s="110">
        <f t="shared" si="271"/>
        <v>385.09</v>
      </c>
      <c r="BM97" s="110">
        <f t="shared" si="272"/>
        <v>0</v>
      </c>
      <c r="BN97" s="110">
        <f t="shared" si="273"/>
        <v>385.09</v>
      </c>
      <c r="BO97" s="110">
        <v>370.26</v>
      </c>
      <c r="BP97" s="129"/>
      <c r="BQ97" s="110">
        <f t="shared" si="274"/>
        <v>14.829999999999984</v>
      </c>
      <c r="BR97" s="110">
        <f t="shared" si="275"/>
        <v>0</v>
      </c>
      <c r="BS97" s="110">
        <f t="shared" si="276"/>
        <v>33.659999999999997</v>
      </c>
      <c r="BT97" s="110">
        <f t="shared" si="277"/>
        <v>0</v>
      </c>
      <c r="BU97" s="110">
        <f t="shared" si="287"/>
        <v>18.830000000000013</v>
      </c>
      <c r="BV97" s="110">
        <f t="shared" si="412"/>
        <v>0</v>
      </c>
      <c r="BW97" s="111">
        <v>40.61</v>
      </c>
      <c r="CA97" s="110">
        <f t="shared" si="278"/>
        <v>444.53</v>
      </c>
      <c r="CB97" s="110">
        <f t="shared" si="279"/>
        <v>0</v>
      </c>
    </row>
    <row r="98" spans="1:80" ht="18" x14ac:dyDescent="0.3">
      <c r="A98" s="18"/>
      <c r="B98" s="18" t="s">
        <v>152</v>
      </c>
      <c r="C98" s="19" t="s">
        <v>153</v>
      </c>
      <c r="D98" s="20" t="s">
        <v>150</v>
      </c>
      <c r="E98" s="21" t="s">
        <v>154</v>
      </c>
      <c r="F98" s="22">
        <v>3300.82</v>
      </c>
      <c r="G98" s="22">
        <v>2955.42</v>
      </c>
      <c r="H98" s="22">
        <v>3341.82</v>
      </c>
      <c r="I98" s="22">
        <v>2955.42</v>
      </c>
      <c r="J98" s="89">
        <f t="shared" ref="J98:AA98" si="418">+J96+J97</f>
        <v>3897.08</v>
      </c>
      <c r="K98" s="89">
        <f t="shared" si="418"/>
        <v>0</v>
      </c>
      <c r="L98" s="89">
        <f t="shared" si="418"/>
        <v>0</v>
      </c>
      <c r="M98" s="89">
        <f t="shared" si="418"/>
        <v>3897.08</v>
      </c>
      <c r="N98" s="89">
        <f t="shared" si="418"/>
        <v>0</v>
      </c>
      <c r="O98" s="89">
        <f t="shared" si="418"/>
        <v>0</v>
      </c>
      <c r="P98" s="89">
        <f t="shared" si="418"/>
        <v>0</v>
      </c>
      <c r="Q98" s="89">
        <f t="shared" si="418"/>
        <v>0</v>
      </c>
      <c r="R98" s="89">
        <f t="shared" si="418"/>
        <v>3897.08</v>
      </c>
      <c r="S98" s="89">
        <f t="shared" si="418"/>
        <v>3500</v>
      </c>
      <c r="T98" s="89">
        <f t="shared" si="418"/>
        <v>0</v>
      </c>
      <c r="U98" s="89">
        <f t="shared" si="418"/>
        <v>0</v>
      </c>
      <c r="V98" s="89">
        <f t="shared" si="418"/>
        <v>3536.6499999999996</v>
      </c>
      <c r="W98" s="89">
        <f t="shared" si="418"/>
        <v>3052.06</v>
      </c>
      <c r="X98" s="89">
        <f t="shared" si="418"/>
        <v>360.43000000000012</v>
      </c>
      <c r="Y98" s="89">
        <f t="shared" si="418"/>
        <v>447.94000000000005</v>
      </c>
      <c r="Z98" s="89">
        <f t="shared" si="418"/>
        <v>3536.6499999999996</v>
      </c>
      <c r="AA98" s="89">
        <f t="shared" si="418"/>
        <v>0</v>
      </c>
      <c r="AB98" s="22">
        <f t="shared" si="254"/>
        <v>3536.6499999999996</v>
      </c>
      <c r="AC98" s="111">
        <f t="shared" si="255"/>
        <v>0</v>
      </c>
      <c r="AD98" s="22">
        <f t="shared" ref="AD98:CB98" si="419">+AD96+AD97</f>
        <v>3536.6499999999996</v>
      </c>
      <c r="AE98" s="22">
        <f t="shared" si="419"/>
        <v>3052.06</v>
      </c>
      <c r="AF98" s="22">
        <f t="shared" si="419"/>
        <v>3157.7</v>
      </c>
      <c r="AG98" s="22">
        <f t="shared" si="419"/>
        <v>884</v>
      </c>
      <c r="AH98" s="22">
        <f t="shared" si="419"/>
        <v>763</v>
      </c>
      <c r="AI98" s="120">
        <f t="shared" si="419"/>
        <v>295</v>
      </c>
      <c r="AJ98" s="22">
        <f t="shared" si="419"/>
        <v>254</v>
      </c>
      <c r="AK98" s="22">
        <f t="shared" si="419"/>
        <v>0</v>
      </c>
      <c r="AL98" s="22">
        <f t="shared" si="419"/>
        <v>0</v>
      </c>
      <c r="AM98" s="22">
        <f t="shared" si="419"/>
        <v>884.16</v>
      </c>
      <c r="AN98" s="22">
        <f t="shared" si="419"/>
        <v>743.18</v>
      </c>
      <c r="AO98" s="22">
        <f t="shared" si="419"/>
        <v>0</v>
      </c>
      <c r="AP98" s="22">
        <f t="shared" si="419"/>
        <v>0</v>
      </c>
      <c r="AQ98" s="22">
        <f t="shared" si="419"/>
        <v>1768.1599999999999</v>
      </c>
      <c r="AR98" s="22">
        <f t="shared" si="419"/>
        <v>1506.1799999999998</v>
      </c>
      <c r="AS98" s="22">
        <f t="shared" si="419"/>
        <v>0</v>
      </c>
      <c r="AT98" s="22">
        <f t="shared" si="419"/>
        <v>0</v>
      </c>
      <c r="AU98" s="22">
        <f t="shared" si="419"/>
        <v>884.16</v>
      </c>
      <c r="AV98" s="22">
        <f t="shared" si="419"/>
        <v>763.02</v>
      </c>
      <c r="AW98" s="22">
        <f t="shared" si="419"/>
        <v>0</v>
      </c>
      <c r="AX98" s="22">
        <f t="shared" si="419"/>
        <v>438.97</v>
      </c>
      <c r="AY98" s="22">
        <f t="shared" si="419"/>
        <v>2947.3199999999997</v>
      </c>
      <c r="AZ98" s="22">
        <f t="shared" si="419"/>
        <v>2962.17</v>
      </c>
      <c r="BA98" s="22">
        <f t="shared" si="419"/>
        <v>5909.49</v>
      </c>
      <c r="BB98" s="22">
        <f t="shared" si="419"/>
        <v>2791.01</v>
      </c>
      <c r="BC98" s="22">
        <f t="shared" si="419"/>
        <v>2738.5</v>
      </c>
      <c r="BD98" s="22">
        <f t="shared" si="419"/>
        <v>156.30999999999995</v>
      </c>
      <c r="BE98" s="22">
        <f t="shared" si="419"/>
        <v>223.67000000000007</v>
      </c>
      <c r="BF98" s="22">
        <f t="shared" si="419"/>
        <v>558.20000000000005</v>
      </c>
      <c r="BG98" s="120">
        <f t="shared" si="419"/>
        <v>547.70000000000005</v>
      </c>
      <c r="BH98" s="120">
        <f t="shared" si="419"/>
        <v>200.95000000000002</v>
      </c>
      <c r="BI98" s="120">
        <f t="shared" si="419"/>
        <v>162.02000000000001</v>
      </c>
      <c r="BJ98" s="120">
        <f t="shared" si="419"/>
        <v>0</v>
      </c>
      <c r="BK98" s="120">
        <f t="shared" si="419"/>
        <v>0</v>
      </c>
      <c r="BL98" s="120">
        <f t="shared" si="419"/>
        <v>3148.27</v>
      </c>
      <c r="BM98" s="120">
        <f t="shared" si="419"/>
        <v>3124.19</v>
      </c>
      <c r="BN98" s="120">
        <f t="shared" si="419"/>
        <v>6272.46</v>
      </c>
      <c r="BO98" s="120">
        <f t="shared" si="419"/>
        <v>3074.0600000000004</v>
      </c>
      <c r="BP98" s="120">
        <f t="shared" si="419"/>
        <v>2778.95</v>
      </c>
      <c r="BQ98" s="22">
        <f t="shared" si="419"/>
        <v>74.209999999999638</v>
      </c>
      <c r="BR98" s="22">
        <f t="shared" si="419"/>
        <v>345.24000000000024</v>
      </c>
      <c r="BS98" s="22">
        <f t="shared" si="419"/>
        <v>279.46000000000004</v>
      </c>
      <c r="BT98" s="22">
        <f t="shared" si="419"/>
        <v>252.63</v>
      </c>
      <c r="BU98" s="22">
        <f t="shared" si="419"/>
        <v>205.25000000000037</v>
      </c>
      <c r="BV98" s="22">
        <f t="shared" si="419"/>
        <v>0</v>
      </c>
      <c r="BW98" s="22">
        <f t="shared" si="419"/>
        <v>94.19</v>
      </c>
      <c r="BX98" s="22">
        <f t="shared" si="419"/>
        <v>300</v>
      </c>
      <c r="BY98" s="22">
        <f t="shared" si="419"/>
        <v>0</v>
      </c>
      <c r="BZ98" s="22">
        <f t="shared" si="419"/>
        <v>0</v>
      </c>
      <c r="CA98" s="22">
        <f t="shared" si="419"/>
        <v>3447.71</v>
      </c>
      <c r="CB98" s="22">
        <f t="shared" si="419"/>
        <v>3424.19</v>
      </c>
    </row>
    <row r="99" spans="1:80" ht="18" x14ac:dyDescent="0.3">
      <c r="A99" s="13">
        <v>8</v>
      </c>
      <c r="B99" s="13"/>
      <c r="C99" s="14"/>
      <c r="D99" s="15" t="s">
        <v>155</v>
      </c>
      <c r="E99" s="16"/>
      <c r="F99" s="82">
        <v>3769.9999999999995</v>
      </c>
      <c r="G99" s="82">
        <v>2800</v>
      </c>
      <c r="H99" s="82">
        <v>3769.9999999999995</v>
      </c>
      <c r="I99" s="17">
        <v>2800</v>
      </c>
      <c r="J99" s="87">
        <v>4400</v>
      </c>
      <c r="K99" s="88">
        <v>0</v>
      </c>
      <c r="L99" s="88">
        <v>0</v>
      </c>
      <c r="M99" s="88">
        <f t="shared" si="385"/>
        <v>4400</v>
      </c>
      <c r="N99" s="88">
        <v>0</v>
      </c>
      <c r="O99" s="88">
        <v>0</v>
      </c>
      <c r="P99" s="88">
        <v>0</v>
      </c>
      <c r="Q99" s="88">
        <f t="shared" ref="Q99:Q103" si="420">N99+O99+P99</f>
        <v>0</v>
      </c>
      <c r="R99" s="88">
        <f t="shared" si="413"/>
        <v>4400</v>
      </c>
      <c r="S99" s="88">
        <v>2950</v>
      </c>
      <c r="V99" s="17">
        <f t="shared" ref="V99:V100" si="421">ROUND(H99*1.0583,2)</f>
        <v>3989.79</v>
      </c>
      <c r="W99" s="17">
        <f t="shared" ref="W99:W100" si="422">ROUND(I99*1.0327,2)</f>
        <v>2891.56</v>
      </c>
      <c r="X99" s="110">
        <f t="shared" si="252"/>
        <v>410.21000000000004</v>
      </c>
      <c r="Y99" s="110">
        <f t="shared" si="253"/>
        <v>58.440000000000055</v>
      </c>
      <c r="Z99" s="110">
        <v>3989.79</v>
      </c>
      <c r="AA99" s="110"/>
      <c r="AB99" s="110">
        <f t="shared" si="254"/>
        <v>3989.79</v>
      </c>
      <c r="AC99" s="111">
        <f t="shared" si="255"/>
        <v>0</v>
      </c>
      <c r="AD99" s="110">
        <f t="shared" ref="AD99:AD100" si="423">IF(X99&gt;0,V99,R99)</f>
        <v>3989.79</v>
      </c>
      <c r="AE99" s="110">
        <f t="shared" ref="AE99:AE100" si="424">IF(Y99&gt;0,W99,S99)</f>
        <v>2891.56</v>
      </c>
      <c r="AF99" s="110">
        <f t="shared" si="256"/>
        <v>2661.49</v>
      </c>
      <c r="AG99" s="110">
        <f t="shared" si="257"/>
        <v>997</v>
      </c>
      <c r="AH99" s="110">
        <f t="shared" si="258"/>
        <v>723</v>
      </c>
      <c r="AI99" s="129">
        <f t="shared" si="259"/>
        <v>332</v>
      </c>
      <c r="AJ99" s="110">
        <f t="shared" si="260"/>
        <v>241</v>
      </c>
      <c r="AM99" s="110">
        <f t="shared" si="261"/>
        <v>997.45</v>
      </c>
      <c r="AN99" s="110">
        <f t="shared" si="262"/>
        <v>704.09</v>
      </c>
      <c r="AQ99" s="110">
        <f t="shared" si="263"/>
        <v>1994.45</v>
      </c>
      <c r="AR99" s="110">
        <f t="shared" si="264"/>
        <v>1427.0900000000001</v>
      </c>
      <c r="AU99" s="110">
        <f t="shared" si="401"/>
        <v>997.45</v>
      </c>
      <c r="AV99" s="110">
        <f t="shared" si="136"/>
        <v>722.89</v>
      </c>
      <c r="AY99" s="110">
        <f t="shared" si="245"/>
        <v>3323.9</v>
      </c>
      <c r="AZ99" s="110">
        <f t="shared" si="246"/>
        <v>2390.98</v>
      </c>
      <c r="BA99" s="110">
        <f t="shared" si="247"/>
        <v>5714.88</v>
      </c>
      <c r="BB99" s="142">
        <v>3226.95</v>
      </c>
      <c r="BC99" s="142">
        <v>2387.04</v>
      </c>
      <c r="BD99" s="142">
        <f t="shared" si="248"/>
        <v>96.950000000000273</v>
      </c>
      <c r="BE99" s="142">
        <f t="shared" si="249"/>
        <v>3.9400000000000546</v>
      </c>
      <c r="BF99" s="142">
        <f t="shared" si="250"/>
        <v>645.39</v>
      </c>
      <c r="BG99" s="142">
        <f t="shared" si="251"/>
        <v>477.41</v>
      </c>
      <c r="BH99" s="110">
        <v>274.22000000000003</v>
      </c>
      <c r="BI99" s="110">
        <v>190</v>
      </c>
      <c r="BK99" s="110">
        <v>50</v>
      </c>
      <c r="BL99" s="110">
        <f t="shared" si="271"/>
        <v>3598.12</v>
      </c>
      <c r="BM99" s="110">
        <f t="shared" si="272"/>
        <v>2630.98</v>
      </c>
      <c r="BN99" s="110">
        <f t="shared" si="273"/>
        <v>6229.1</v>
      </c>
      <c r="BO99" s="110">
        <v>3570.56</v>
      </c>
      <c r="BP99" s="129">
        <v>2630.6</v>
      </c>
      <c r="BQ99" s="110">
        <f t="shared" si="274"/>
        <v>27.559999999999945</v>
      </c>
      <c r="BR99" s="110">
        <f t="shared" si="275"/>
        <v>0.38000000000010914</v>
      </c>
      <c r="BS99" s="110">
        <f t="shared" si="276"/>
        <v>324.60000000000002</v>
      </c>
      <c r="BT99" s="110">
        <f t="shared" si="277"/>
        <v>239.15</v>
      </c>
      <c r="BU99" s="110">
        <f t="shared" si="287"/>
        <v>297.04000000000008</v>
      </c>
      <c r="BV99" s="110">
        <f t="shared" si="412"/>
        <v>238.77</v>
      </c>
      <c r="BW99" s="111">
        <v>29.84</v>
      </c>
      <c r="BX99" s="110">
        <f>45+1.25</f>
        <v>46.25</v>
      </c>
      <c r="CA99" s="110">
        <f t="shared" si="278"/>
        <v>3925</v>
      </c>
      <c r="CB99" s="110">
        <f t="shared" si="279"/>
        <v>2916</v>
      </c>
    </row>
    <row r="100" spans="1:80" ht="18" x14ac:dyDescent="0.3">
      <c r="A100" s="13">
        <v>9</v>
      </c>
      <c r="B100" s="13"/>
      <c r="C100" s="14"/>
      <c r="D100" s="15" t="s">
        <v>156</v>
      </c>
      <c r="E100" s="16"/>
      <c r="F100" s="82">
        <v>456.72999999999996</v>
      </c>
      <c r="G100" s="82">
        <v>0</v>
      </c>
      <c r="H100" s="82">
        <v>456.72999999999996</v>
      </c>
      <c r="I100" s="17">
        <v>0</v>
      </c>
      <c r="J100" s="87">
        <v>670</v>
      </c>
      <c r="K100" s="88">
        <v>0</v>
      </c>
      <c r="L100" s="88">
        <v>0</v>
      </c>
      <c r="M100" s="88">
        <f t="shared" si="385"/>
        <v>670</v>
      </c>
      <c r="N100" s="88">
        <v>80</v>
      </c>
      <c r="O100" s="88">
        <v>0</v>
      </c>
      <c r="P100" s="88">
        <v>0</v>
      </c>
      <c r="Q100" s="88">
        <f t="shared" si="420"/>
        <v>80</v>
      </c>
      <c r="R100" s="88">
        <f t="shared" si="413"/>
        <v>750</v>
      </c>
      <c r="S100" s="88">
        <v>0</v>
      </c>
      <c r="V100" s="17">
        <f t="shared" si="421"/>
        <v>483.36</v>
      </c>
      <c r="W100" s="17">
        <f t="shared" si="422"/>
        <v>0</v>
      </c>
      <c r="X100" s="110">
        <f t="shared" si="252"/>
        <v>266.64</v>
      </c>
      <c r="Y100" s="110">
        <f t="shared" si="253"/>
        <v>0</v>
      </c>
      <c r="Z100" s="110">
        <v>433.36</v>
      </c>
      <c r="AA100" s="110">
        <v>50</v>
      </c>
      <c r="AB100" s="110">
        <f t="shared" si="254"/>
        <v>483.36</v>
      </c>
      <c r="AC100" s="111">
        <f t="shared" si="255"/>
        <v>0</v>
      </c>
      <c r="AD100" s="110">
        <f t="shared" si="423"/>
        <v>483.36</v>
      </c>
      <c r="AE100" s="110">
        <f t="shared" si="424"/>
        <v>0</v>
      </c>
      <c r="AF100" s="110">
        <f t="shared" si="256"/>
        <v>0</v>
      </c>
      <c r="AG100" s="110">
        <f t="shared" si="257"/>
        <v>121</v>
      </c>
      <c r="AH100" s="110">
        <f t="shared" si="258"/>
        <v>0</v>
      </c>
      <c r="AI100" s="129">
        <f t="shared" si="259"/>
        <v>40</v>
      </c>
      <c r="AJ100" s="110">
        <f t="shared" si="260"/>
        <v>0</v>
      </c>
      <c r="AM100" s="110">
        <f t="shared" si="261"/>
        <v>120.84</v>
      </c>
      <c r="AN100" s="110">
        <f t="shared" si="262"/>
        <v>0</v>
      </c>
      <c r="AQ100" s="110">
        <f t="shared" si="263"/>
        <v>241.84</v>
      </c>
      <c r="AR100" s="110">
        <f t="shared" si="264"/>
        <v>0</v>
      </c>
      <c r="AU100" s="110">
        <f t="shared" si="401"/>
        <v>120.84</v>
      </c>
      <c r="AV100" s="110">
        <f t="shared" si="136"/>
        <v>0</v>
      </c>
      <c r="AY100" s="110">
        <f t="shared" si="245"/>
        <v>402.68</v>
      </c>
      <c r="AZ100" s="110">
        <f t="shared" si="246"/>
        <v>0</v>
      </c>
      <c r="BA100" s="110">
        <f t="shared" si="247"/>
        <v>402.68</v>
      </c>
      <c r="BB100" s="142">
        <v>401.84</v>
      </c>
      <c r="BD100" s="142">
        <f t="shared" si="248"/>
        <v>0.84000000000003183</v>
      </c>
      <c r="BE100" s="142">
        <f t="shared" si="249"/>
        <v>0</v>
      </c>
      <c r="BF100" s="142">
        <f t="shared" si="250"/>
        <v>80.37</v>
      </c>
      <c r="BG100" s="142">
        <f t="shared" si="251"/>
        <v>0</v>
      </c>
      <c r="BH100" s="110">
        <v>39.770000000000003</v>
      </c>
      <c r="BI100" s="110">
        <v>0</v>
      </c>
      <c r="BL100" s="110">
        <f t="shared" si="271"/>
        <v>442.45</v>
      </c>
      <c r="BM100" s="110">
        <f t="shared" si="272"/>
        <v>0</v>
      </c>
      <c r="BN100" s="110">
        <f t="shared" si="273"/>
        <v>442.45</v>
      </c>
      <c r="BO100" s="110">
        <v>401.84</v>
      </c>
      <c r="BP100" s="129"/>
      <c r="BQ100" s="110">
        <f t="shared" si="274"/>
        <v>40.610000000000014</v>
      </c>
      <c r="BR100" s="110">
        <f t="shared" si="275"/>
        <v>0</v>
      </c>
      <c r="BS100" s="110">
        <f t="shared" si="276"/>
        <v>36.53</v>
      </c>
      <c r="BT100" s="110">
        <f t="shared" si="277"/>
        <v>0</v>
      </c>
      <c r="BU100" s="110">
        <v>0</v>
      </c>
      <c r="BV100" s="110">
        <f t="shared" si="412"/>
        <v>0</v>
      </c>
      <c r="BW100" s="111">
        <v>240.09</v>
      </c>
      <c r="CA100" s="110">
        <f t="shared" si="278"/>
        <v>682.54</v>
      </c>
      <c r="CB100" s="110">
        <f t="shared" si="279"/>
        <v>0</v>
      </c>
    </row>
    <row r="101" spans="1:80" ht="18" x14ac:dyDescent="0.3">
      <c r="A101" s="18"/>
      <c r="B101" s="18" t="s">
        <v>157</v>
      </c>
      <c r="C101" s="19" t="s">
        <v>158</v>
      </c>
      <c r="D101" s="20" t="s">
        <v>155</v>
      </c>
      <c r="E101" s="21" t="s">
        <v>159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9">
        <f t="shared" ref="J101:AA101" si="425">+J99+J100</f>
        <v>5070</v>
      </c>
      <c r="K101" s="89">
        <f t="shared" si="425"/>
        <v>0</v>
      </c>
      <c r="L101" s="89">
        <f t="shared" si="425"/>
        <v>0</v>
      </c>
      <c r="M101" s="89">
        <f t="shared" si="425"/>
        <v>5070</v>
      </c>
      <c r="N101" s="89">
        <f t="shared" si="425"/>
        <v>80</v>
      </c>
      <c r="O101" s="89">
        <f t="shared" si="425"/>
        <v>0</v>
      </c>
      <c r="P101" s="89">
        <f t="shared" si="425"/>
        <v>0</v>
      </c>
      <c r="Q101" s="89">
        <f t="shared" si="425"/>
        <v>80</v>
      </c>
      <c r="R101" s="89">
        <f t="shared" si="425"/>
        <v>5150</v>
      </c>
      <c r="S101" s="89">
        <f t="shared" si="425"/>
        <v>2950</v>
      </c>
      <c r="T101" s="89">
        <f t="shared" si="425"/>
        <v>0</v>
      </c>
      <c r="U101" s="89">
        <f t="shared" si="425"/>
        <v>0</v>
      </c>
      <c r="V101" s="89">
        <f t="shared" si="425"/>
        <v>4473.1499999999996</v>
      </c>
      <c r="W101" s="89">
        <f t="shared" si="425"/>
        <v>2891.56</v>
      </c>
      <c r="X101" s="89">
        <f t="shared" si="425"/>
        <v>676.85</v>
      </c>
      <c r="Y101" s="89">
        <f t="shared" si="425"/>
        <v>58.440000000000055</v>
      </c>
      <c r="Z101" s="89">
        <f t="shared" si="425"/>
        <v>4423.1499999999996</v>
      </c>
      <c r="AA101" s="89">
        <f t="shared" si="425"/>
        <v>50</v>
      </c>
      <c r="AB101" s="22">
        <f t="shared" si="254"/>
        <v>4473.1499999999996</v>
      </c>
      <c r="AC101" s="111">
        <f t="shared" si="255"/>
        <v>0</v>
      </c>
      <c r="AD101" s="22">
        <f t="shared" ref="AD101:CB101" si="426">+AD99+AD100</f>
        <v>4473.1499999999996</v>
      </c>
      <c r="AE101" s="22">
        <f t="shared" si="426"/>
        <v>2891.56</v>
      </c>
      <c r="AF101" s="22">
        <f t="shared" si="426"/>
        <v>2661.49</v>
      </c>
      <c r="AG101" s="22">
        <f t="shared" si="426"/>
        <v>1118</v>
      </c>
      <c r="AH101" s="22">
        <f t="shared" si="426"/>
        <v>723</v>
      </c>
      <c r="AI101" s="120">
        <f t="shared" si="426"/>
        <v>372</v>
      </c>
      <c r="AJ101" s="22">
        <f t="shared" si="426"/>
        <v>241</v>
      </c>
      <c r="AK101" s="22">
        <f t="shared" si="426"/>
        <v>0</v>
      </c>
      <c r="AL101" s="22">
        <f t="shared" si="426"/>
        <v>0</v>
      </c>
      <c r="AM101" s="22">
        <f t="shared" si="426"/>
        <v>1118.29</v>
      </c>
      <c r="AN101" s="22">
        <f t="shared" si="426"/>
        <v>704.09</v>
      </c>
      <c r="AO101" s="22">
        <f t="shared" si="426"/>
        <v>0</v>
      </c>
      <c r="AP101" s="22">
        <f t="shared" si="426"/>
        <v>0</v>
      </c>
      <c r="AQ101" s="22">
        <f t="shared" si="426"/>
        <v>2236.29</v>
      </c>
      <c r="AR101" s="22">
        <f t="shared" si="426"/>
        <v>1427.0900000000001</v>
      </c>
      <c r="AS101" s="22">
        <f t="shared" si="426"/>
        <v>0</v>
      </c>
      <c r="AT101" s="22">
        <f t="shared" si="426"/>
        <v>0</v>
      </c>
      <c r="AU101" s="22">
        <f t="shared" si="426"/>
        <v>1118.29</v>
      </c>
      <c r="AV101" s="22">
        <f t="shared" si="426"/>
        <v>722.89</v>
      </c>
      <c r="AW101" s="22">
        <f t="shared" si="426"/>
        <v>0</v>
      </c>
      <c r="AX101" s="22">
        <f t="shared" si="426"/>
        <v>0</v>
      </c>
      <c r="AY101" s="22">
        <f t="shared" si="426"/>
        <v>3726.58</v>
      </c>
      <c r="AZ101" s="22">
        <f t="shared" si="426"/>
        <v>2390.98</v>
      </c>
      <c r="BA101" s="22">
        <f t="shared" si="426"/>
        <v>6117.56</v>
      </c>
      <c r="BB101" s="22">
        <f t="shared" si="426"/>
        <v>3628.79</v>
      </c>
      <c r="BC101" s="22">
        <f t="shared" si="426"/>
        <v>2387.04</v>
      </c>
      <c r="BD101" s="22">
        <f t="shared" si="426"/>
        <v>97.790000000000305</v>
      </c>
      <c r="BE101" s="22">
        <f t="shared" si="426"/>
        <v>3.9400000000000546</v>
      </c>
      <c r="BF101" s="22">
        <f t="shared" si="426"/>
        <v>725.76</v>
      </c>
      <c r="BG101" s="120">
        <f t="shared" si="426"/>
        <v>477.41</v>
      </c>
      <c r="BH101" s="120">
        <f t="shared" si="426"/>
        <v>313.99</v>
      </c>
      <c r="BI101" s="120">
        <f t="shared" si="426"/>
        <v>190</v>
      </c>
      <c r="BJ101" s="120">
        <f t="shared" si="426"/>
        <v>0</v>
      </c>
      <c r="BK101" s="120">
        <f t="shared" si="426"/>
        <v>50</v>
      </c>
      <c r="BL101" s="120">
        <f t="shared" si="426"/>
        <v>4040.5699999999997</v>
      </c>
      <c r="BM101" s="120">
        <f t="shared" si="426"/>
        <v>2630.98</v>
      </c>
      <c r="BN101" s="120">
        <f t="shared" si="426"/>
        <v>6671.55</v>
      </c>
      <c r="BO101" s="120">
        <f t="shared" si="426"/>
        <v>3972.4</v>
      </c>
      <c r="BP101" s="120">
        <f t="shared" si="426"/>
        <v>2630.6</v>
      </c>
      <c r="BQ101" s="22">
        <f t="shared" si="426"/>
        <v>68.169999999999959</v>
      </c>
      <c r="BR101" s="22">
        <f t="shared" si="426"/>
        <v>0.38000000000010914</v>
      </c>
      <c r="BS101" s="22">
        <f t="shared" si="426"/>
        <v>361.13</v>
      </c>
      <c r="BT101" s="22">
        <f t="shared" si="426"/>
        <v>239.15</v>
      </c>
      <c r="BU101" s="22">
        <f t="shared" si="426"/>
        <v>297.04000000000008</v>
      </c>
      <c r="BV101" s="22">
        <f t="shared" si="426"/>
        <v>238.77</v>
      </c>
      <c r="BW101" s="22">
        <f t="shared" si="426"/>
        <v>269.93</v>
      </c>
      <c r="BX101" s="22">
        <f t="shared" si="426"/>
        <v>46.25</v>
      </c>
      <c r="BY101" s="22">
        <f t="shared" si="426"/>
        <v>0</v>
      </c>
      <c r="BZ101" s="22">
        <f t="shared" si="426"/>
        <v>0</v>
      </c>
      <c r="CA101" s="22">
        <f t="shared" si="426"/>
        <v>4607.54</v>
      </c>
      <c r="CB101" s="22">
        <f t="shared" si="426"/>
        <v>2916</v>
      </c>
    </row>
    <row r="102" spans="1:80" ht="18" x14ac:dyDescent="0.3">
      <c r="A102" s="13">
        <v>10</v>
      </c>
      <c r="B102" s="13"/>
      <c r="C102" s="14"/>
      <c r="D102" s="15" t="s">
        <v>160</v>
      </c>
      <c r="E102" s="16"/>
      <c r="F102" s="82">
        <v>1791.12</v>
      </c>
      <c r="G102" s="82">
        <v>277.14</v>
      </c>
      <c r="H102" s="82">
        <v>1791.12</v>
      </c>
      <c r="I102" s="17">
        <v>277.14</v>
      </c>
      <c r="J102" s="87">
        <v>2310</v>
      </c>
      <c r="K102" s="88">
        <v>0</v>
      </c>
      <c r="L102" s="88">
        <v>0</v>
      </c>
      <c r="M102" s="88">
        <f t="shared" si="385"/>
        <v>2310</v>
      </c>
      <c r="N102" s="88">
        <v>0</v>
      </c>
      <c r="O102" s="88">
        <v>0</v>
      </c>
      <c r="P102" s="88">
        <v>0</v>
      </c>
      <c r="Q102" s="88">
        <f t="shared" si="420"/>
        <v>0</v>
      </c>
      <c r="R102" s="88">
        <f t="shared" si="413"/>
        <v>2310</v>
      </c>
      <c r="S102" s="88">
        <v>350</v>
      </c>
      <c r="V102" s="17">
        <f t="shared" ref="V102:V103" si="427">ROUND(H102*1.0583,2)</f>
        <v>1895.54</v>
      </c>
      <c r="W102" s="17">
        <f t="shared" ref="W102:W103" si="428">ROUND(I102*1.0327,2)</f>
        <v>286.2</v>
      </c>
      <c r="X102" s="110">
        <f t="shared" si="252"/>
        <v>414.46000000000004</v>
      </c>
      <c r="Y102" s="110">
        <f t="shared" si="253"/>
        <v>63.800000000000011</v>
      </c>
      <c r="Z102" s="110">
        <v>1895.54</v>
      </c>
      <c r="AA102" s="110"/>
      <c r="AB102" s="110">
        <f t="shared" si="254"/>
        <v>1895.54</v>
      </c>
      <c r="AC102" s="111">
        <f t="shared" si="255"/>
        <v>0</v>
      </c>
      <c r="AD102" s="110">
        <f t="shared" ref="AD102:AD103" si="429">IF(X102&gt;0,V102,R102)</f>
        <v>1895.54</v>
      </c>
      <c r="AE102" s="110">
        <f t="shared" ref="AE102:AE103" si="430">IF(Y102&gt;0,W102,S102)</f>
        <v>286.2</v>
      </c>
      <c r="AF102" s="110">
        <f t="shared" si="256"/>
        <v>315.77</v>
      </c>
      <c r="AG102" s="110">
        <f t="shared" si="257"/>
        <v>474</v>
      </c>
      <c r="AH102" s="110">
        <f t="shared" si="258"/>
        <v>72</v>
      </c>
      <c r="AI102" s="129">
        <f t="shared" si="259"/>
        <v>158</v>
      </c>
      <c r="AJ102" s="110">
        <f t="shared" si="260"/>
        <v>24</v>
      </c>
      <c r="AM102" s="110">
        <f t="shared" si="261"/>
        <v>473.89</v>
      </c>
      <c r="AN102" s="110">
        <f t="shared" si="262"/>
        <v>69.69</v>
      </c>
      <c r="AQ102" s="110">
        <f t="shared" si="263"/>
        <v>947.89</v>
      </c>
      <c r="AR102" s="110">
        <f t="shared" si="264"/>
        <v>141.69</v>
      </c>
      <c r="AU102" s="110">
        <f t="shared" si="401"/>
        <v>473.89</v>
      </c>
      <c r="AV102" s="110">
        <f t="shared" si="136"/>
        <v>71.55</v>
      </c>
      <c r="AY102" s="110">
        <f t="shared" si="245"/>
        <v>1579.78</v>
      </c>
      <c r="AZ102" s="110">
        <f t="shared" si="246"/>
        <v>237.24</v>
      </c>
      <c r="BA102" s="110">
        <f t="shared" si="247"/>
        <v>1817.02</v>
      </c>
      <c r="BB102" s="142">
        <v>1551.21</v>
      </c>
      <c r="BC102" s="142">
        <v>160.82</v>
      </c>
      <c r="BD102" s="142">
        <f t="shared" si="248"/>
        <v>28.569999999999936</v>
      </c>
      <c r="BE102" s="142">
        <f t="shared" si="249"/>
        <v>76.420000000000016</v>
      </c>
      <c r="BF102" s="142">
        <f t="shared" si="250"/>
        <v>310.24</v>
      </c>
      <c r="BG102" s="142">
        <f t="shared" si="251"/>
        <v>32.159999999999997</v>
      </c>
      <c r="BH102" s="110">
        <v>140.84</v>
      </c>
      <c r="BI102" s="110">
        <v>0</v>
      </c>
      <c r="BL102" s="110">
        <f t="shared" si="271"/>
        <v>1720.62</v>
      </c>
      <c r="BM102" s="110">
        <f t="shared" si="272"/>
        <v>237.24</v>
      </c>
      <c r="BN102" s="110">
        <f t="shared" si="273"/>
        <v>1957.86</v>
      </c>
      <c r="BO102" s="110">
        <v>1709.34</v>
      </c>
      <c r="BP102" s="129">
        <v>226.98</v>
      </c>
      <c r="BQ102" s="110">
        <f t="shared" si="274"/>
        <v>11.279999999999973</v>
      </c>
      <c r="BR102" s="110">
        <f t="shared" si="275"/>
        <v>10.260000000000019</v>
      </c>
      <c r="BS102" s="110">
        <f t="shared" si="276"/>
        <v>155.38999999999999</v>
      </c>
      <c r="BT102" s="110">
        <f t="shared" si="277"/>
        <v>20.63</v>
      </c>
      <c r="BU102" s="110">
        <f t="shared" si="287"/>
        <v>144.11000000000001</v>
      </c>
      <c r="BV102" s="110">
        <v>0</v>
      </c>
      <c r="BW102" s="111">
        <v>10</v>
      </c>
      <c r="BX102" s="110">
        <f>48+0.96</f>
        <v>48.96</v>
      </c>
      <c r="CA102" s="110">
        <f t="shared" si="278"/>
        <v>1874.73</v>
      </c>
      <c r="CB102" s="110">
        <f t="shared" si="279"/>
        <v>286.2</v>
      </c>
    </row>
    <row r="103" spans="1:80" ht="36" x14ac:dyDescent="0.3">
      <c r="A103" s="13">
        <v>11</v>
      </c>
      <c r="B103" s="13"/>
      <c r="C103" s="14"/>
      <c r="D103" s="15" t="s">
        <v>161</v>
      </c>
      <c r="E103" s="16"/>
      <c r="F103" s="82">
        <v>252.36</v>
      </c>
      <c r="G103" s="82">
        <v>0</v>
      </c>
      <c r="H103" s="82">
        <v>252.36</v>
      </c>
      <c r="I103" s="17">
        <v>0</v>
      </c>
      <c r="J103" s="87">
        <v>288</v>
      </c>
      <c r="K103" s="88">
        <v>0</v>
      </c>
      <c r="L103" s="88">
        <v>0</v>
      </c>
      <c r="M103" s="88">
        <f t="shared" si="385"/>
        <v>288</v>
      </c>
      <c r="N103" s="88">
        <v>0</v>
      </c>
      <c r="O103" s="88">
        <v>0</v>
      </c>
      <c r="P103" s="88">
        <v>0</v>
      </c>
      <c r="Q103" s="88">
        <f t="shared" si="420"/>
        <v>0</v>
      </c>
      <c r="R103" s="88">
        <f t="shared" si="413"/>
        <v>288</v>
      </c>
      <c r="S103" s="88">
        <v>0</v>
      </c>
      <c r="V103" s="17">
        <f t="shared" si="427"/>
        <v>267.07</v>
      </c>
      <c r="W103" s="17">
        <f t="shared" si="428"/>
        <v>0</v>
      </c>
      <c r="X103" s="110">
        <f t="shared" si="252"/>
        <v>20.930000000000007</v>
      </c>
      <c r="Y103" s="110">
        <f t="shared" si="253"/>
        <v>0</v>
      </c>
      <c r="Z103" s="110">
        <v>267.07</v>
      </c>
      <c r="AA103" s="110"/>
      <c r="AB103" s="110">
        <f t="shared" si="254"/>
        <v>267.07</v>
      </c>
      <c r="AC103" s="111">
        <f t="shared" si="255"/>
        <v>0</v>
      </c>
      <c r="AD103" s="110">
        <f t="shared" si="429"/>
        <v>267.07</v>
      </c>
      <c r="AE103" s="110">
        <f t="shared" si="430"/>
        <v>0</v>
      </c>
      <c r="AF103" s="110">
        <f t="shared" si="256"/>
        <v>0</v>
      </c>
      <c r="AG103" s="110">
        <f t="shared" si="257"/>
        <v>67</v>
      </c>
      <c r="AH103" s="110">
        <f t="shared" si="258"/>
        <v>0</v>
      </c>
      <c r="AI103" s="129">
        <f t="shared" si="259"/>
        <v>22</v>
      </c>
      <c r="AJ103" s="110">
        <f t="shared" si="260"/>
        <v>0</v>
      </c>
      <c r="AM103" s="110">
        <f t="shared" si="261"/>
        <v>66.77</v>
      </c>
      <c r="AN103" s="110">
        <f t="shared" si="262"/>
        <v>0</v>
      </c>
      <c r="AQ103" s="110">
        <f t="shared" si="263"/>
        <v>133.76999999999998</v>
      </c>
      <c r="AR103" s="110">
        <f t="shared" si="264"/>
        <v>0</v>
      </c>
      <c r="AU103" s="110">
        <f t="shared" si="401"/>
        <v>66.77</v>
      </c>
      <c r="AV103" s="110">
        <f t="shared" si="136"/>
        <v>0</v>
      </c>
      <c r="AY103" s="110">
        <f t="shared" si="245"/>
        <v>222.53999999999996</v>
      </c>
      <c r="AZ103" s="110">
        <f t="shared" si="246"/>
        <v>0</v>
      </c>
      <c r="BA103" s="110">
        <f t="shared" si="247"/>
        <v>222.53999999999996</v>
      </c>
      <c r="BB103" s="142">
        <v>222.54</v>
      </c>
      <c r="BD103" s="142">
        <f t="shared" si="248"/>
        <v>0</v>
      </c>
      <c r="BE103" s="142">
        <f t="shared" si="249"/>
        <v>0</v>
      </c>
      <c r="BF103" s="142">
        <f t="shared" si="250"/>
        <v>44.51</v>
      </c>
      <c r="BG103" s="142">
        <f t="shared" si="251"/>
        <v>0</v>
      </c>
      <c r="BH103" s="110">
        <v>22.26</v>
      </c>
      <c r="BI103" s="110">
        <v>0</v>
      </c>
      <c r="BL103" s="110">
        <f t="shared" si="271"/>
        <v>244.79999999999995</v>
      </c>
      <c r="BM103" s="110">
        <f t="shared" si="272"/>
        <v>0</v>
      </c>
      <c r="BN103" s="110">
        <f t="shared" si="273"/>
        <v>244.79999999999995</v>
      </c>
      <c r="BO103" s="110">
        <v>222.54</v>
      </c>
      <c r="BP103" s="129"/>
      <c r="BQ103" s="110">
        <f t="shared" si="274"/>
        <v>22.259999999999962</v>
      </c>
      <c r="BR103" s="110">
        <f t="shared" si="275"/>
        <v>0</v>
      </c>
      <c r="BS103" s="110">
        <f t="shared" si="276"/>
        <v>20.23</v>
      </c>
      <c r="BT103" s="110">
        <f t="shared" si="277"/>
        <v>0</v>
      </c>
      <c r="BU103" s="110">
        <v>0</v>
      </c>
      <c r="BV103" s="110">
        <f t="shared" si="412"/>
        <v>0</v>
      </c>
      <c r="BW103" s="110">
        <v>25</v>
      </c>
      <c r="CA103" s="110">
        <f t="shared" si="278"/>
        <v>269.79999999999995</v>
      </c>
      <c r="CB103" s="110">
        <f t="shared" si="279"/>
        <v>0</v>
      </c>
    </row>
    <row r="104" spans="1:80" ht="18" x14ac:dyDescent="0.3">
      <c r="A104" s="18"/>
      <c r="B104" s="18" t="s">
        <v>162</v>
      </c>
      <c r="C104" s="19" t="s">
        <v>153</v>
      </c>
      <c r="D104" s="20" t="s">
        <v>160</v>
      </c>
      <c r="E104" s="21" t="s">
        <v>163</v>
      </c>
      <c r="F104" s="22">
        <v>2043.48</v>
      </c>
      <c r="G104" s="22">
        <v>277.14</v>
      </c>
      <c r="H104" s="22">
        <v>2043.48</v>
      </c>
      <c r="I104" s="22">
        <v>277.14</v>
      </c>
      <c r="J104" s="89">
        <f t="shared" ref="J104:AA104" si="431">+J102+J103</f>
        <v>2598</v>
      </c>
      <c r="K104" s="89">
        <f t="shared" si="431"/>
        <v>0</v>
      </c>
      <c r="L104" s="89">
        <f t="shared" si="431"/>
        <v>0</v>
      </c>
      <c r="M104" s="89">
        <f t="shared" si="431"/>
        <v>2598</v>
      </c>
      <c r="N104" s="89">
        <f t="shared" si="431"/>
        <v>0</v>
      </c>
      <c r="O104" s="89">
        <f t="shared" si="431"/>
        <v>0</v>
      </c>
      <c r="P104" s="89">
        <f t="shared" si="431"/>
        <v>0</v>
      </c>
      <c r="Q104" s="89">
        <f t="shared" si="431"/>
        <v>0</v>
      </c>
      <c r="R104" s="89">
        <f t="shared" si="431"/>
        <v>2598</v>
      </c>
      <c r="S104" s="89">
        <f t="shared" si="431"/>
        <v>350</v>
      </c>
      <c r="T104" s="89">
        <f t="shared" si="431"/>
        <v>0</v>
      </c>
      <c r="U104" s="89">
        <f t="shared" si="431"/>
        <v>0</v>
      </c>
      <c r="V104" s="89">
        <f t="shared" si="431"/>
        <v>2162.61</v>
      </c>
      <c r="W104" s="89">
        <f t="shared" si="431"/>
        <v>286.2</v>
      </c>
      <c r="X104" s="89">
        <f t="shared" si="431"/>
        <v>435.39000000000004</v>
      </c>
      <c r="Y104" s="89">
        <f t="shared" si="431"/>
        <v>63.800000000000011</v>
      </c>
      <c r="Z104" s="89">
        <f t="shared" si="431"/>
        <v>2162.61</v>
      </c>
      <c r="AA104" s="89">
        <f t="shared" si="431"/>
        <v>0</v>
      </c>
      <c r="AB104" s="22">
        <f t="shared" si="254"/>
        <v>2162.61</v>
      </c>
      <c r="AC104" s="111">
        <f t="shared" si="255"/>
        <v>0</v>
      </c>
      <c r="AD104" s="22">
        <f t="shared" ref="AD104:CB104" si="432">+AD102+AD103</f>
        <v>2162.61</v>
      </c>
      <c r="AE104" s="22">
        <f t="shared" si="432"/>
        <v>286.2</v>
      </c>
      <c r="AF104" s="22">
        <f t="shared" si="432"/>
        <v>315.77</v>
      </c>
      <c r="AG104" s="22">
        <f t="shared" si="432"/>
        <v>541</v>
      </c>
      <c r="AH104" s="22">
        <f t="shared" si="432"/>
        <v>72</v>
      </c>
      <c r="AI104" s="120">
        <f t="shared" si="432"/>
        <v>180</v>
      </c>
      <c r="AJ104" s="22">
        <f t="shared" si="432"/>
        <v>24</v>
      </c>
      <c r="AK104" s="22">
        <f t="shared" si="432"/>
        <v>0</v>
      </c>
      <c r="AL104" s="22">
        <f t="shared" si="432"/>
        <v>0</v>
      </c>
      <c r="AM104" s="22">
        <f t="shared" si="432"/>
        <v>540.66</v>
      </c>
      <c r="AN104" s="22">
        <f t="shared" si="432"/>
        <v>69.69</v>
      </c>
      <c r="AO104" s="22">
        <f t="shared" si="432"/>
        <v>0</v>
      </c>
      <c r="AP104" s="22">
        <f t="shared" si="432"/>
        <v>0</v>
      </c>
      <c r="AQ104" s="22">
        <f t="shared" si="432"/>
        <v>1081.6599999999999</v>
      </c>
      <c r="AR104" s="22">
        <f t="shared" si="432"/>
        <v>141.69</v>
      </c>
      <c r="AS104" s="22">
        <f t="shared" si="432"/>
        <v>0</v>
      </c>
      <c r="AT104" s="22">
        <f t="shared" si="432"/>
        <v>0</v>
      </c>
      <c r="AU104" s="22">
        <f t="shared" si="432"/>
        <v>540.66</v>
      </c>
      <c r="AV104" s="22">
        <f t="shared" si="432"/>
        <v>71.55</v>
      </c>
      <c r="AW104" s="22">
        <f t="shared" si="432"/>
        <v>0</v>
      </c>
      <c r="AX104" s="22">
        <f t="shared" si="432"/>
        <v>0</v>
      </c>
      <c r="AY104" s="22">
        <f t="shared" si="432"/>
        <v>1802.32</v>
      </c>
      <c r="AZ104" s="22">
        <f t="shared" si="432"/>
        <v>237.24</v>
      </c>
      <c r="BA104" s="22">
        <f t="shared" si="432"/>
        <v>2039.56</v>
      </c>
      <c r="BB104" s="22">
        <f t="shared" si="432"/>
        <v>1773.75</v>
      </c>
      <c r="BC104" s="22">
        <f t="shared" si="432"/>
        <v>160.82</v>
      </c>
      <c r="BD104" s="22">
        <f t="shared" si="432"/>
        <v>28.569999999999936</v>
      </c>
      <c r="BE104" s="22">
        <f t="shared" si="432"/>
        <v>76.420000000000016</v>
      </c>
      <c r="BF104" s="22">
        <f t="shared" si="432"/>
        <v>354.75</v>
      </c>
      <c r="BG104" s="120">
        <f t="shared" si="432"/>
        <v>32.159999999999997</v>
      </c>
      <c r="BH104" s="120">
        <f t="shared" si="432"/>
        <v>163.1</v>
      </c>
      <c r="BI104" s="120">
        <f t="shared" si="432"/>
        <v>0</v>
      </c>
      <c r="BJ104" s="120">
        <f t="shared" si="432"/>
        <v>0</v>
      </c>
      <c r="BK104" s="120">
        <f t="shared" si="432"/>
        <v>0</v>
      </c>
      <c r="BL104" s="120">
        <f t="shared" si="432"/>
        <v>1965.4199999999998</v>
      </c>
      <c r="BM104" s="120">
        <f t="shared" si="432"/>
        <v>237.24</v>
      </c>
      <c r="BN104" s="120">
        <f t="shared" si="432"/>
        <v>2202.66</v>
      </c>
      <c r="BO104" s="120">
        <f t="shared" si="432"/>
        <v>1931.8799999999999</v>
      </c>
      <c r="BP104" s="120">
        <f t="shared" si="432"/>
        <v>226.98</v>
      </c>
      <c r="BQ104" s="22">
        <f t="shared" si="432"/>
        <v>33.539999999999935</v>
      </c>
      <c r="BR104" s="22">
        <f t="shared" si="432"/>
        <v>10.260000000000019</v>
      </c>
      <c r="BS104" s="22">
        <f t="shared" si="432"/>
        <v>175.61999999999998</v>
      </c>
      <c r="BT104" s="22">
        <f t="shared" si="432"/>
        <v>20.63</v>
      </c>
      <c r="BU104" s="22">
        <f t="shared" si="432"/>
        <v>144.11000000000001</v>
      </c>
      <c r="BV104" s="22">
        <f t="shared" si="432"/>
        <v>0</v>
      </c>
      <c r="BW104" s="22">
        <f t="shared" si="432"/>
        <v>35</v>
      </c>
      <c r="BX104" s="22">
        <f t="shared" si="432"/>
        <v>48.96</v>
      </c>
      <c r="BY104" s="22">
        <f t="shared" si="432"/>
        <v>0</v>
      </c>
      <c r="BZ104" s="22">
        <f t="shared" si="432"/>
        <v>0</v>
      </c>
      <c r="CA104" s="22">
        <f t="shared" si="432"/>
        <v>2144.5299999999997</v>
      </c>
      <c r="CB104" s="22">
        <f t="shared" si="432"/>
        <v>286.2</v>
      </c>
    </row>
    <row r="105" spans="1:80" ht="18" x14ac:dyDescent="0.3">
      <c r="A105" s="13">
        <v>12</v>
      </c>
      <c r="B105" s="13"/>
      <c r="C105" s="14"/>
      <c r="D105" s="15" t="s">
        <v>164</v>
      </c>
      <c r="E105" s="16"/>
      <c r="F105" s="82">
        <v>5520.0999999999985</v>
      </c>
      <c r="G105" s="82">
        <v>3447.08</v>
      </c>
      <c r="H105" s="82">
        <v>5520.0999999999985</v>
      </c>
      <c r="I105" s="17">
        <v>3497.08</v>
      </c>
      <c r="J105" s="87">
        <v>6900</v>
      </c>
      <c r="K105" s="88">
        <v>0</v>
      </c>
      <c r="L105" s="88">
        <v>0</v>
      </c>
      <c r="M105" s="88">
        <f t="shared" si="385"/>
        <v>6900</v>
      </c>
      <c r="N105" s="88">
        <v>0</v>
      </c>
      <c r="O105" s="88">
        <v>0</v>
      </c>
      <c r="P105" s="88">
        <v>0</v>
      </c>
      <c r="Q105" s="88">
        <f t="shared" ref="Q105:Q106" si="433">N105+O105+P105</f>
        <v>0</v>
      </c>
      <c r="R105" s="88">
        <f t="shared" si="413"/>
        <v>6900</v>
      </c>
      <c r="S105" s="88">
        <v>4200</v>
      </c>
      <c r="V105" s="17">
        <f t="shared" ref="V105:V106" si="434">ROUND(H105*1.0583,2)</f>
        <v>5841.92</v>
      </c>
      <c r="W105" s="17">
        <f t="shared" ref="W105:W106" si="435">ROUND(I105*1.0327,2)</f>
        <v>3611.43</v>
      </c>
      <c r="X105" s="110">
        <f t="shared" si="252"/>
        <v>1058.08</v>
      </c>
      <c r="Y105" s="110">
        <f t="shared" si="253"/>
        <v>588.57000000000016</v>
      </c>
      <c r="Z105" s="110">
        <v>5841.92</v>
      </c>
      <c r="AA105" s="110"/>
      <c r="AB105" s="110">
        <f t="shared" si="254"/>
        <v>5841.92</v>
      </c>
      <c r="AC105" s="111">
        <f t="shared" si="255"/>
        <v>0</v>
      </c>
      <c r="AD105" s="110">
        <f t="shared" ref="AD105:AD106" si="436">IF(X105&gt;0,V105,R105)</f>
        <v>5841.92</v>
      </c>
      <c r="AE105" s="110">
        <f t="shared" ref="AE105:AE106" si="437">IF(Y105&gt;0,W105,S105)</f>
        <v>3611.43</v>
      </c>
      <c r="AF105" s="110">
        <f t="shared" si="256"/>
        <v>3789.24</v>
      </c>
      <c r="AG105" s="110">
        <f t="shared" si="257"/>
        <v>1460</v>
      </c>
      <c r="AH105" s="110">
        <f t="shared" si="258"/>
        <v>903</v>
      </c>
      <c r="AI105" s="129">
        <f t="shared" si="259"/>
        <v>487</v>
      </c>
      <c r="AJ105" s="110">
        <f t="shared" si="260"/>
        <v>301</v>
      </c>
      <c r="AL105" s="146">
        <v>300</v>
      </c>
      <c r="AM105" s="110">
        <f t="shared" si="261"/>
        <v>1460.48</v>
      </c>
      <c r="AN105" s="110">
        <f t="shared" si="262"/>
        <v>879.38</v>
      </c>
      <c r="AQ105" s="110">
        <f t="shared" si="263"/>
        <v>2920.48</v>
      </c>
      <c r="AR105" s="110">
        <f t="shared" si="264"/>
        <v>2082.38</v>
      </c>
      <c r="AU105" s="110">
        <f t="shared" si="401"/>
        <v>1460.48</v>
      </c>
      <c r="AV105" s="110">
        <f t="shared" si="136"/>
        <v>902.86</v>
      </c>
      <c r="AY105" s="110">
        <f t="shared" si="245"/>
        <v>4867.96</v>
      </c>
      <c r="AZ105" s="110">
        <f t="shared" si="246"/>
        <v>3286.2400000000002</v>
      </c>
      <c r="BA105" s="110">
        <f t="shared" si="247"/>
        <v>8154.2000000000007</v>
      </c>
      <c r="BB105" s="142">
        <v>4851.8</v>
      </c>
      <c r="BC105" s="142">
        <v>3308</v>
      </c>
      <c r="BD105" s="142">
        <f t="shared" si="248"/>
        <v>16.159999999999854</v>
      </c>
      <c r="BE105" s="142">
        <f t="shared" si="249"/>
        <v>-21.759999999999764</v>
      </c>
      <c r="BF105" s="142">
        <f t="shared" si="250"/>
        <v>970.36</v>
      </c>
      <c r="BG105" s="142">
        <f t="shared" si="251"/>
        <v>661.6</v>
      </c>
      <c r="BH105" s="110">
        <v>477.1</v>
      </c>
      <c r="BI105" s="110">
        <v>300</v>
      </c>
      <c r="BL105" s="110">
        <f t="shared" si="271"/>
        <v>5345.06</v>
      </c>
      <c r="BM105" s="110">
        <f t="shared" si="272"/>
        <v>3586.2400000000002</v>
      </c>
      <c r="BN105" s="110">
        <f t="shared" si="273"/>
        <v>8931.3000000000011</v>
      </c>
      <c r="BO105" s="110">
        <v>5384.74</v>
      </c>
      <c r="BP105" s="129">
        <v>3825.36</v>
      </c>
      <c r="BQ105" s="110">
        <f t="shared" si="274"/>
        <v>-39.679999999999382</v>
      </c>
      <c r="BR105" s="110">
        <f t="shared" si="275"/>
        <v>-239.11999999999989</v>
      </c>
      <c r="BS105" s="110">
        <f t="shared" si="276"/>
        <v>489.52</v>
      </c>
      <c r="BT105" s="110">
        <f t="shared" si="277"/>
        <v>347.76</v>
      </c>
      <c r="BU105" s="110">
        <v>529.20000000000005</v>
      </c>
      <c r="BV105" s="110">
        <f t="shared" si="412"/>
        <v>586.88</v>
      </c>
      <c r="BX105" s="110">
        <f>200+187.03</f>
        <v>387.03</v>
      </c>
      <c r="CA105" s="110">
        <f t="shared" si="278"/>
        <v>5874.26</v>
      </c>
      <c r="CB105" s="110">
        <f t="shared" si="279"/>
        <v>4560.1499999999996</v>
      </c>
    </row>
    <row r="106" spans="1:80" ht="18" x14ac:dyDescent="0.3">
      <c r="A106" s="13">
        <v>13</v>
      </c>
      <c r="B106" s="13"/>
      <c r="C106" s="14"/>
      <c r="D106" s="15" t="s">
        <v>165</v>
      </c>
      <c r="E106" s="16"/>
      <c r="F106" s="82">
        <v>1675.5800000000002</v>
      </c>
      <c r="G106" s="82">
        <v>0</v>
      </c>
      <c r="H106" s="82">
        <v>1600.0000000000002</v>
      </c>
      <c r="I106" s="17">
        <v>0</v>
      </c>
      <c r="J106" s="87">
        <v>1550</v>
      </c>
      <c r="K106" s="88">
        <v>0</v>
      </c>
      <c r="L106" s="88">
        <v>0</v>
      </c>
      <c r="M106" s="88">
        <f t="shared" si="385"/>
        <v>1550</v>
      </c>
      <c r="N106" s="88">
        <v>180</v>
      </c>
      <c r="O106" s="88">
        <v>0</v>
      </c>
      <c r="P106" s="88">
        <v>0</v>
      </c>
      <c r="Q106" s="88">
        <f t="shared" si="433"/>
        <v>180</v>
      </c>
      <c r="R106" s="88">
        <f t="shared" si="413"/>
        <v>1730</v>
      </c>
      <c r="S106" s="88">
        <v>0</v>
      </c>
      <c r="V106" s="17">
        <f t="shared" si="434"/>
        <v>1693.28</v>
      </c>
      <c r="W106" s="17">
        <f t="shared" si="435"/>
        <v>0</v>
      </c>
      <c r="X106" s="110">
        <f t="shared" si="252"/>
        <v>36.720000000000027</v>
      </c>
      <c r="Y106" s="110">
        <f t="shared" si="253"/>
        <v>0</v>
      </c>
      <c r="Z106" s="110">
        <v>1538.28</v>
      </c>
      <c r="AA106" s="110">
        <v>155</v>
      </c>
      <c r="AB106" s="110">
        <f t="shared" si="254"/>
        <v>1693.28</v>
      </c>
      <c r="AC106" s="111">
        <f t="shared" si="255"/>
        <v>0</v>
      </c>
      <c r="AD106" s="110">
        <f t="shared" si="436"/>
        <v>1693.28</v>
      </c>
      <c r="AE106" s="110">
        <f t="shared" si="437"/>
        <v>0</v>
      </c>
      <c r="AF106" s="110">
        <f t="shared" si="256"/>
        <v>0</v>
      </c>
      <c r="AG106" s="110">
        <f t="shared" si="257"/>
        <v>423</v>
      </c>
      <c r="AH106" s="110">
        <f t="shared" si="258"/>
        <v>0</v>
      </c>
      <c r="AI106" s="129">
        <f t="shared" si="259"/>
        <v>141</v>
      </c>
      <c r="AJ106" s="110">
        <f t="shared" si="260"/>
        <v>0</v>
      </c>
      <c r="AM106" s="110">
        <f t="shared" si="261"/>
        <v>423.32</v>
      </c>
      <c r="AN106" s="110">
        <f t="shared" si="262"/>
        <v>0</v>
      </c>
      <c r="AQ106" s="110">
        <f t="shared" si="263"/>
        <v>846.31999999999994</v>
      </c>
      <c r="AR106" s="110">
        <f t="shared" si="264"/>
        <v>0</v>
      </c>
      <c r="AU106" s="110">
        <f t="shared" si="401"/>
        <v>423.32</v>
      </c>
      <c r="AV106" s="110">
        <f t="shared" si="136"/>
        <v>0</v>
      </c>
      <c r="AY106" s="110">
        <f t="shared" si="245"/>
        <v>1410.6399999999999</v>
      </c>
      <c r="AZ106" s="110">
        <f t="shared" si="246"/>
        <v>0</v>
      </c>
      <c r="BA106" s="110">
        <f t="shared" si="247"/>
        <v>1410.6399999999999</v>
      </c>
      <c r="BB106" s="142">
        <v>1414.14</v>
      </c>
      <c r="BD106" s="142">
        <f t="shared" si="248"/>
        <v>-3.5000000000002274</v>
      </c>
      <c r="BE106" s="142">
        <f t="shared" si="249"/>
        <v>0</v>
      </c>
      <c r="BF106" s="142">
        <f t="shared" si="250"/>
        <v>282.83</v>
      </c>
      <c r="BG106" s="142">
        <f t="shared" si="251"/>
        <v>0</v>
      </c>
      <c r="BH106" s="110">
        <v>141.18</v>
      </c>
      <c r="BI106" s="110">
        <v>0</v>
      </c>
      <c r="BL106" s="110">
        <f t="shared" si="271"/>
        <v>1551.82</v>
      </c>
      <c r="BM106" s="110">
        <f t="shared" si="272"/>
        <v>0</v>
      </c>
      <c r="BN106" s="110">
        <f t="shared" si="273"/>
        <v>1551.82</v>
      </c>
      <c r="BO106" s="110">
        <v>1414.14</v>
      </c>
      <c r="BP106" s="129"/>
      <c r="BQ106" s="110">
        <f t="shared" si="274"/>
        <v>137.67999999999984</v>
      </c>
      <c r="BR106" s="110">
        <f t="shared" si="275"/>
        <v>0</v>
      </c>
      <c r="BS106" s="110">
        <f t="shared" si="276"/>
        <v>128.56</v>
      </c>
      <c r="BT106" s="110">
        <f t="shared" si="277"/>
        <v>0</v>
      </c>
      <c r="BU106" s="110">
        <v>0</v>
      </c>
      <c r="BV106" s="110">
        <f t="shared" si="412"/>
        <v>0</v>
      </c>
      <c r="BW106" s="110">
        <v>141</v>
      </c>
      <c r="CA106" s="110">
        <f t="shared" si="278"/>
        <v>1692.82</v>
      </c>
      <c r="CB106" s="110">
        <f t="shared" si="279"/>
        <v>0</v>
      </c>
    </row>
    <row r="107" spans="1:80" ht="18" x14ac:dyDescent="0.3">
      <c r="A107" s="18"/>
      <c r="B107" s="18" t="s">
        <v>166</v>
      </c>
      <c r="C107" s="19" t="s">
        <v>99</v>
      </c>
      <c r="D107" s="20" t="s">
        <v>164</v>
      </c>
      <c r="E107" s="21" t="s">
        <v>167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9">
        <f t="shared" ref="J107:AA107" si="438">+J105+J106</f>
        <v>8450</v>
      </c>
      <c r="K107" s="89">
        <f t="shared" si="438"/>
        <v>0</v>
      </c>
      <c r="L107" s="89">
        <f t="shared" si="438"/>
        <v>0</v>
      </c>
      <c r="M107" s="89">
        <f t="shared" si="438"/>
        <v>8450</v>
      </c>
      <c r="N107" s="89">
        <f t="shared" si="438"/>
        <v>180</v>
      </c>
      <c r="O107" s="89">
        <f t="shared" si="438"/>
        <v>0</v>
      </c>
      <c r="P107" s="89">
        <f t="shared" si="438"/>
        <v>0</v>
      </c>
      <c r="Q107" s="89">
        <f t="shared" si="438"/>
        <v>180</v>
      </c>
      <c r="R107" s="89">
        <f t="shared" si="438"/>
        <v>8630</v>
      </c>
      <c r="S107" s="89">
        <f t="shared" si="438"/>
        <v>4200</v>
      </c>
      <c r="T107" s="89">
        <f t="shared" si="438"/>
        <v>0</v>
      </c>
      <c r="U107" s="89">
        <f t="shared" si="438"/>
        <v>0</v>
      </c>
      <c r="V107" s="89">
        <f t="shared" si="438"/>
        <v>7535.2</v>
      </c>
      <c r="W107" s="89">
        <f t="shared" si="438"/>
        <v>3611.43</v>
      </c>
      <c r="X107" s="89">
        <f t="shared" si="438"/>
        <v>1094.8</v>
      </c>
      <c r="Y107" s="89">
        <f t="shared" si="438"/>
        <v>588.57000000000016</v>
      </c>
      <c r="Z107" s="89">
        <f t="shared" si="438"/>
        <v>7380.2</v>
      </c>
      <c r="AA107" s="89">
        <f t="shared" si="438"/>
        <v>155</v>
      </c>
      <c r="AB107" s="22">
        <f t="shared" si="254"/>
        <v>7535.2</v>
      </c>
      <c r="AC107" s="111">
        <f t="shared" si="255"/>
        <v>0</v>
      </c>
      <c r="AD107" s="22">
        <f t="shared" ref="AD107:CB107" si="439">+AD105+AD106</f>
        <v>7535.2</v>
      </c>
      <c r="AE107" s="22">
        <f t="shared" si="439"/>
        <v>3611.43</v>
      </c>
      <c r="AF107" s="22">
        <f t="shared" si="439"/>
        <v>3789.24</v>
      </c>
      <c r="AG107" s="22">
        <f t="shared" si="439"/>
        <v>1883</v>
      </c>
      <c r="AH107" s="22">
        <f t="shared" si="439"/>
        <v>903</v>
      </c>
      <c r="AI107" s="120">
        <f t="shared" si="439"/>
        <v>628</v>
      </c>
      <c r="AJ107" s="22">
        <f t="shared" si="439"/>
        <v>301</v>
      </c>
      <c r="AK107" s="22">
        <f t="shared" si="439"/>
        <v>0</v>
      </c>
      <c r="AL107" s="22">
        <f t="shared" si="439"/>
        <v>300</v>
      </c>
      <c r="AM107" s="22">
        <f t="shared" si="439"/>
        <v>1883.8</v>
      </c>
      <c r="AN107" s="22">
        <f t="shared" si="439"/>
        <v>879.38</v>
      </c>
      <c r="AO107" s="22">
        <f t="shared" si="439"/>
        <v>0</v>
      </c>
      <c r="AP107" s="22">
        <f t="shared" si="439"/>
        <v>0</v>
      </c>
      <c r="AQ107" s="22">
        <f t="shared" si="439"/>
        <v>3766.8</v>
      </c>
      <c r="AR107" s="22">
        <f t="shared" si="439"/>
        <v>2082.38</v>
      </c>
      <c r="AS107" s="22">
        <f t="shared" si="439"/>
        <v>0</v>
      </c>
      <c r="AT107" s="22">
        <f t="shared" si="439"/>
        <v>0</v>
      </c>
      <c r="AU107" s="22">
        <f t="shared" si="439"/>
        <v>1883.8</v>
      </c>
      <c r="AV107" s="22">
        <f t="shared" si="439"/>
        <v>902.86</v>
      </c>
      <c r="AW107" s="22">
        <f t="shared" si="439"/>
        <v>0</v>
      </c>
      <c r="AX107" s="22">
        <f t="shared" si="439"/>
        <v>0</v>
      </c>
      <c r="AY107" s="22">
        <f t="shared" si="439"/>
        <v>6278.6</v>
      </c>
      <c r="AZ107" s="22">
        <f t="shared" si="439"/>
        <v>3286.2400000000002</v>
      </c>
      <c r="BA107" s="22">
        <f t="shared" si="439"/>
        <v>9564.84</v>
      </c>
      <c r="BB107" s="22">
        <f t="shared" si="439"/>
        <v>6265.9400000000005</v>
      </c>
      <c r="BC107" s="22">
        <f t="shared" si="439"/>
        <v>3308</v>
      </c>
      <c r="BD107" s="22">
        <f t="shared" si="439"/>
        <v>12.659999999999627</v>
      </c>
      <c r="BE107" s="22">
        <f t="shared" si="439"/>
        <v>-21.759999999999764</v>
      </c>
      <c r="BF107" s="22">
        <f t="shared" si="439"/>
        <v>1253.19</v>
      </c>
      <c r="BG107" s="120">
        <f t="shared" si="439"/>
        <v>661.6</v>
      </c>
      <c r="BH107" s="120">
        <f t="shared" si="439"/>
        <v>618.28</v>
      </c>
      <c r="BI107" s="120">
        <f t="shared" si="439"/>
        <v>300</v>
      </c>
      <c r="BJ107" s="120">
        <f t="shared" si="439"/>
        <v>0</v>
      </c>
      <c r="BK107" s="120">
        <f t="shared" si="439"/>
        <v>0</v>
      </c>
      <c r="BL107" s="120">
        <f t="shared" si="439"/>
        <v>6896.88</v>
      </c>
      <c r="BM107" s="120">
        <f t="shared" si="439"/>
        <v>3586.2400000000002</v>
      </c>
      <c r="BN107" s="120">
        <f t="shared" si="439"/>
        <v>10483.120000000001</v>
      </c>
      <c r="BO107" s="120">
        <f t="shared" si="439"/>
        <v>6798.88</v>
      </c>
      <c r="BP107" s="120">
        <f t="shared" si="439"/>
        <v>3825.36</v>
      </c>
      <c r="BQ107" s="22">
        <f t="shared" si="439"/>
        <v>98.000000000000455</v>
      </c>
      <c r="BR107" s="22">
        <f t="shared" si="439"/>
        <v>-239.11999999999989</v>
      </c>
      <c r="BS107" s="22">
        <f t="shared" si="439"/>
        <v>618.07999999999993</v>
      </c>
      <c r="BT107" s="22">
        <f t="shared" si="439"/>
        <v>347.76</v>
      </c>
      <c r="BU107" s="22">
        <f t="shared" si="439"/>
        <v>529.20000000000005</v>
      </c>
      <c r="BV107" s="22">
        <f t="shared" si="439"/>
        <v>586.88</v>
      </c>
      <c r="BW107" s="22">
        <f t="shared" si="439"/>
        <v>141</v>
      </c>
      <c r="BX107" s="22">
        <f t="shared" si="439"/>
        <v>387.03</v>
      </c>
      <c r="BY107" s="22">
        <f t="shared" si="439"/>
        <v>0</v>
      </c>
      <c r="BZ107" s="22">
        <f t="shared" si="439"/>
        <v>0</v>
      </c>
      <c r="CA107" s="22">
        <f t="shared" si="439"/>
        <v>7567.08</v>
      </c>
      <c r="CB107" s="22">
        <f t="shared" si="439"/>
        <v>4560.1499999999996</v>
      </c>
    </row>
    <row r="108" spans="1:80" ht="18" x14ac:dyDescent="0.3">
      <c r="A108" s="13">
        <v>14</v>
      </c>
      <c r="B108" s="13"/>
      <c r="C108" s="14"/>
      <c r="D108" s="15" t="s">
        <v>168</v>
      </c>
      <c r="E108" s="16"/>
      <c r="F108" s="82">
        <v>1292.2</v>
      </c>
      <c r="G108" s="82">
        <v>148.02000000000004</v>
      </c>
      <c r="H108" s="82">
        <v>1292.2</v>
      </c>
      <c r="I108" s="17">
        <v>148.02000000000004</v>
      </c>
      <c r="J108" s="87">
        <v>1560</v>
      </c>
      <c r="K108" s="88">
        <v>0</v>
      </c>
      <c r="L108" s="88">
        <v>0</v>
      </c>
      <c r="M108" s="88">
        <f t="shared" si="385"/>
        <v>1560</v>
      </c>
      <c r="N108" s="88">
        <v>0</v>
      </c>
      <c r="O108" s="88">
        <v>0</v>
      </c>
      <c r="P108" s="88">
        <v>0</v>
      </c>
      <c r="Q108" s="88">
        <f t="shared" ref="Q108:Q109" si="440">N108+O108+P108</f>
        <v>0</v>
      </c>
      <c r="R108" s="88">
        <f t="shared" si="413"/>
        <v>1560</v>
      </c>
      <c r="S108" s="88">
        <v>175</v>
      </c>
      <c r="V108" s="17">
        <f t="shared" ref="V108:V109" si="441">ROUND(H108*1.0583,2)</f>
        <v>1367.54</v>
      </c>
      <c r="W108" s="17">
        <f t="shared" ref="W108:W109" si="442">ROUND(I108*1.0327,2)</f>
        <v>152.86000000000001</v>
      </c>
      <c r="X108" s="110">
        <f t="shared" si="252"/>
        <v>192.46000000000004</v>
      </c>
      <c r="Y108" s="110">
        <f t="shared" si="253"/>
        <v>22.139999999999986</v>
      </c>
      <c r="Z108" s="110">
        <v>1367.54</v>
      </c>
      <c r="AA108" s="110"/>
      <c r="AB108" s="110">
        <f t="shared" si="254"/>
        <v>1367.54</v>
      </c>
      <c r="AC108" s="111">
        <f t="shared" si="255"/>
        <v>0</v>
      </c>
      <c r="AD108" s="110">
        <f t="shared" ref="AD108:AD109" si="443">IF(X108&gt;0,V108,R108)</f>
        <v>1367.54</v>
      </c>
      <c r="AE108" s="110">
        <f t="shared" ref="AE108:AE109" si="444">IF(Y108&gt;0,W108,S108)</f>
        <v>152.86000000000001</v>
      </c>
      <c r="AF108" s="110">
        <f t="shared" si="256"/>
        <v>157.88999999999999</v>
      </c>
      <c r="AG108" s="110">
        <f t="shared" si="257"/>
        <v>342</v>
      </c>
      <c r="AH108" s="110">
        <f t="shared" si="258"/>
        <v>38</v>
      </c>
      <c r="AI108" s="129">
        <f t="shared" si="259"/>
        <v>114</v>
      </c>
      <c r="AJ108" s="110">
        <f t="shared" si="260"/>
        <v>13</v>
      </c>
      <c r="AM108" s="110">
        <f t="shared" si="261"/>
        <v>341.89</v>
      </c>
      <c r="AN108" s="110">
        <f t="shared" si="262"/>
        <v>37.22</v>
      </c>
      <c r="AQ108" s="110">
        <f t="shared" si="263"/>
        <v>683.89</v>
      </c>
      <c r="AR108" s="154">
        <f t="shared" si="264"/>
        <v>75.22</v>
      </c>
      <c r="AS108" s="154"/>
      <c r="AT108" s="154"/>
      <c r="AU108" s="154">
        <f t="shared" si="401"/>
        <v>341.89</v>
      </c>
      <c r="AV108" s="154">
        <f t="shared" si="136"/>
        <v>38.22</v>
      </c>
      <c r="AW108" s="154"/>
      <c r="AX108" s="145">
        <v>15</v>
      </c>
      <c r="AY108" s="110">
        <f t="shared" si="245"/>
        <v>1139.78</v>
      </c>
      <c r="AZ108" s="110">
        <f t="shared" si="246"/>
        <v>141.44</v>
      </c>
      <c r="BA108" s="110">
        <f t="shared" si="247"/>
        <v>1281.22</v>
      </c>
      <c r="BB108" s="142">
        <v>1151.7</v>
      </c>
      <c r="BC108" s="142">
        <v>140.96</v>
      </c>
      <c r="BD108" s="142">
        <f t="shared" si="248"/>
        <v>-11.920000000000073</v>
      </c>
      <c r="BE108" s="142">
        <f t="shared" si="249"/>
        <v>0.47999999999998977</v>
      </c>
      <c r="BF108" s="142">
        <f t="shared" si="250"/>
        <v>230.34</v>
      </c>
      <c r="BG108" s="142">
        <f t="shared" si="251"/>
        <v>28.19</v>
      </c>
      <c r="BH108" s="110">
        <v>121.13</v>
      </c>
      <c r="BI108" s="110">
        <v>4.28</v>
      </c>
      <c r="BJ108" s="110">
        <v>25</v>
      </c>
      <c r="BK108" s="110">
        <v>5</v>
      </c>
      <c r="BL108" s="110">
        <f t="shared" si="271"/>
        <v>1285.9099999999999</v>
      </c>
      <c r="BM108" s="110">
        <f t="shared" si="272"/>
        <v>150.72</v>
      </c>
      <c r="BN108" s="110">
        <f t="shared" si="273"/>
        <v>1436.6299999999999</v>
      </c>
      <c r="BO108" s="110">
        <v>1264.53</v>
      </c>
      <c r="BP108" s="129">
        <v>142.66999999999999</v>
      </c>
      <c r="BQ108" s="110">
        <f t="shared" si="274"/>
        <v>21.379999999999882</v>
      </c>
      <c r="BR108" s="110">
        <f t="shared" si="275"/>
        <v>8.0500000000000114</v>
      </c>
      <c r="BS108" s="110">
        <f t="shared" si="276"/>
        <v>114.96</v>
      </c>
      <c r="BT108" s="110">
        <f t="shared" si="277"/>
        <v>12.97</v>
      </c>
      <c r="BU108" s="146">
        <v>106.09</v>
      </c>
      <c r="BV108" s="146">
        <v>4.62</v>
      </c>
      <c r="BW108" s="146"/>
      <c r="BX108" s="146"/>
      <c r="BY108" s="146"/>
      <c r="BZ108" s="146"/>
      <c r="CA108" s="110">
        <f t="shared" si="278"/>
        <v>1391.9999999999998</v>
      </c>
      <c r="CB108" s="110">
        <f t="shared" si="279"/>
        <v>155.34</v>
      </c>
    </row>
    <row r="109" spans="1:80" ht="18" x14ac:dyDescent="0.3">
      <c r="A109" s="13">
        <v>15</v>
      </c>
      <c r="B109" s="13"/>
      <c r="C109" s="14"/>
      <c r="D109" s="15" t="s">
        <v>169</v>
      </c>
      <c r="E109" s="16"/>
      <c r="F109" s="82">
        <v>397.04</v>
      </c>
      <c r="G109" s="82">
        <v>0</v>
      </c>
      <c r="H109" s="82">
        <v>397.04</v>
      </c>
      <c r="I109" s="17">
        <v>0</v>
      </c>
      <c r="J109" s="87">
        <v>533.42999999999995</v>
      </c>
      <c r="K109" s="88">
        <v>0</v>
      </c>
      <c r="L109" s="88">
        <v>0</v>
      </c>
      <c r="M109" s="88">
        <f t="shared" si="385"/>
        <v>533.42999999999995</v>
      </c>
      <c r="N109" s="88">
        <v>0</v>
      </c>
      <c r="O109" s="88">
        <v>0</v>
      </c>
      <c r="P109" s="88">
        <v>0</v>
      </c>
      <c r="Q109" s="88">
        <f t="shared" si="440"/>
        <v>0</v>
      </c>
      <c r="R109" s="88">
        <f t="shared" si="413"/>
        <v>533.42999999999995</v>
      </c>
      <c r="S109" s="88">
        <v>0</v>
      </c>
      <c r="V109" s="17">
        <f t="shared" si="441"/>
        <v>420.19</v>
      </c>
      <c r="W109" s="17">
        <f t="shared" si="442"/>
        <v>0</v>
      </c>
      <c r="X109" s="110">
        <f t="shared" si="252"/>
        <v>113.23999999999995</v>
      </c>
      <c r="Y109" s="110">
        <f t="shared" si="253"/>
        <v>0</v>
      </c>
      <c r="Z109" s="110">
        <v>420.19</v>
      </c>
      <c r="AA109" s="110"/>
      <c r="AB109" s="110">
        <f t="shared" si="254"/>
        <v>420.19</v>
      </c>
      <c r="AC109" s="111">
        <f t="shared" si="255"/>
        <v>0</v>
      </c>
      <c r="AD109" s="110">
        <f t="shared" si="443"/>
        <v>420.19</v>
      </c>
      <c r="AE109" s="110">
        <f t="shared" si="444"/>
        <v>0</v>
      </c>
      <c r="AF109" s="110">
        <f t="shared" si="256"/>
        <v>0</v>
      </c>
      <c r="AG109" s="110">
        <f t="shared" si="257"/>
        <v>105</v>
      </c>
      <c r="AH109" s="110">
        <f t="shared" si="258"/>
        <v>0</v>
      </c>
      <c r="AI109" s="129">
        <f t="shared" si="259"/>
        <v>35</v>
      </c>
      <c r="AJ109" s="110">
        <f t="shared" si="260"/>
        <v>0</v>
      </c>
      <c r="AM109" s="110">
        <f t="shared" si="261"/>
        <v>105.05</v>
      </c>
      <c r="AN109" s="110">
        <f t="shared" si="262"/>
        <v>0</v>
      </c>
      <c r="AQ109" s="110">
        <f t="shared" si="263"/>
        <v>210.05</v>
      </c>
      <c r="AR109" s="154">
        <f t="shared" si="264"/>
        <v>0</v>
      </c>
      <c r="AS109" s="154"/>
      <c r="AT109" s="154"/>
      <c r="AU109" s="154">
        <v>0.14000000000000001</v>
      </c>
      <c r="AV109" s="154">
        <f t="shared" si="136"/>
        <v>0</v>
      </c>
      <c r="AW109" s="154"/>
      <c r="AX109" s="154"/>
      <c r="AY109" s="110">
        <f t="shared" si="245"/>
        <v>245.19</v>
      </c>
      <c r="AZ109" s="110">
        <f t="shared" si="246"/>
        <v>0</v>
      </c>
      <c r="BA109" s="110">
        <f t="shared" si="247"/>
        <v>245.19</v>
      </c>
      <c r="BB109" s="142">
        <v>245.05</v>
      </c>
      <c r="BD109" s="142">
        <f t="shared" si="248"/>
        <v>0.13999999999998636</v>
      </c>
      <c r="BE109" s="142">
        <f t="shared" si="249"/>
        <v>0</v>
      </c>
      <c r="BF109" s="142">
        <f t="shared" si="250"/>
        <v>49.01</v>
      </c>
      <c r="BG109" s="142">
        <f t="shared" si="251"/>
        <v>0</v>
      </c>
      <c r="BH109" s="110">
        <v>0</v>
      </c>
      <c r="BI109" s="110">
        <v>0</v>
      </c>
      <c r="BJ109" s="110">
        <v>30</v>
      </c>
      <c r="BL109" s="110">
        <f t="shared" si="271"/>
        <v>275.19</v>
      </c>
      <c r="BM109" s="110">
        <f t="shared" si="272"/>
        <v>0</v>
      </c>
      <c r="BN109" s="110">
        <f t="shared" si="273"/>
        <v>275.19</v>
      </c>
      <c r="BO109" s="110">
        <v>245.05</v>
      </c>
      <c r="BP109" s="129"/>
      <c r="BQ109" s="110">
        <f t="shared" si="274"/>
        <v>30.139999999999986</v>
      </c>
      <c r="BR109" s="110">
        <f t="shared" si="275"/>
        <v>0</v>
      </c>
      <c r="BS109" s="110">
        <f t="shared" si="276"/>
        <v>22.28</v>
      </c>
      <c r="BT109" s="110">
        <f t="shared" si="277"/>
        <v>0</v>
      </c>
      <c r="BU109" s="110">
        <v>0</v>
      </c>
      <c r="BV109" s="110">
        <f>ROUND(BT109-BR109,2)</f>
        <v>0</v>
      </c>
      <c r="BW109" s="111">
        <v>145</v>
      </c>
      <c r="CA109" s="110">
        <f t="shared" si="278"/>
        <v>420.19</v>
      </c>
      <c r="CB109" s="110">
        <f t="shared" si="279"/>
        <v>0</v>
      </c>
    </row>
    <row r="110" spans="1:80" ht="18" x14ac:dyDescent="0.3">
      <c r="A110" s="18"/>
      <c r="B110" s="18" t="s">
        <v>170</v>
      </c>
      <c r="C110" s="19" t="s">
        <v>153</v>
      </c>
      <c r="D110" s="20" t="s">
        <v>168</v>
      </c>
      <c r="E110" s="21" t="s">
        <v>171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9">
        <f t="shared" ref="J110:AA110" si="445">+J108+J109</f>
        <v>2093.4299999999998</v>
      </c>
      <c r="K110" s="89">
        <f t="shared" si="445"/>
        <v>0</v>
      </c>
      <c r="L110" s="89">
        <f t="shared" si="445"/>
        <v>0</v>
      </c>
      <c r="M110" s="89">
        <f t="shared" si="445"/>
        <v>2093.4299999999998</v>
      </c>
      <c r="N110" s="89">
        <f t="shared" si="445"/>
        <v>0</v>
      </c>
      <c r="O110" s="89">
        <f t="shared" si="445"/>
        <v>0</v>
      </c>
      <c r="P110" s="89">
        <f t="shared" si="445"/>
        <v>0</v>
      </c>
      <c r="Q110" s="89">
        <f t="shared" si="445"/>
        <v>0</v>
      </c>
      <c r="R110" s="89">
        <f t="shared" si="445"/>
        <v>2093.4299999999998</v>
      </c>
      <c r="S110" s="89">
        <f t="shared" si="445"/>
        <v>175</v>
      </c>
      <c r="T110" s="89">
        <f t="shared" si="445"/>
        <v>0</v>
      </c>
      <c r="U110" s="89">
        <f t="shared" si="445"/>
        <v>0</v>
      </c>
      <c r="V110" s="89">
        <f t="shared" si="445"/>
        <v>1787.73</v>
      </c>
      <c r="W110" s="89">
        <f t="shared" si="445"/>
        <v>152.86000000000001</v>
      </c>
      <c r="X110" s="89">
        <f t="shared" si="445"/>
        <v>305.7</v>
      </c>
      <c r="Y110" s="89">
        <f t="shared" si="445"/>
        <v>22.139999999999986</v>
      </c>
      <c r="Z110" s="89">
        <f t="shared" si="445"/>
        <v>1787.73</v>
      </c>
      <c r="AA110" s="89">
        <f t="shared" si="445"/>
        <v>0</v>
      </c>
      <c r="AB110" s="22">
        <f t="shared" si="254"/>
        <v>1787.73</v>
      </c>
      <c r="AC110" s="111">
        <f t="shared" si="255"/>
        <v>0</v>
      </c>
      <c r="AD110" s="22">
        <f t="shared" ref="AD110:CB110" si="446">+AD108+AD109</f>
        <v>1787.73</v>
      </c>
      <c r="AE110" s="22">
        <f t="shared" si="446"/>
        <v>152.86000000000001</v>
      </c>
      <c r="AF110" s="22">
        <f t="shared" si="446"/>
        <v>157.88999999999999</v>
      </c>
      <c r="AG110" s="22">
        <f t="shared" si="446"/>
        <v>447</v>
      </c>
      <c r="AH110" s="22">
        <f t="shared" si="446"/>
        <v>38</v>
      </c>
      <c r="AI110" s="120">
        <f t="shared" si="446"/>
        <v>149</v>
      </c>
      <c r="AJ110" s="22">
        <f t="shared" si="446"/>
        <v>13</v>
      </c>
      <c r="AK110" s="22">
        <f t="shared" si="446"/>
        <v>0</v>
      </c>
      <c r="AL110" s="22">
        <f t="shared" si="446"/>
        <v>0</v>
      </c>
      <c r="AM110" s="22">
        <f t="shared" si="446"/>
        <v>446.94</v>
      </c>
      <c r="AN110" s="22">
        <f t="shared" si="446"/>
        <v>37.22</v>
      </c>
      <c r="AO110" s="22">
        <f t="shared" si="446"/>
        <v>0</v>
      </c>
      <c r="AP110" s="22">
        <f t="shared" si="446"/>
        <v>0</v>
      </c>
      <c r="AQ110" s="22">
        <f t="shared" si="446"/>
        <v>893.94</v>
      </c>
      <c r="AR110" s="22">
        <f t="shared" si="446"/>
        <v>75.22</v>
      </c>
      <c r="AS110" s="22">
        <f t="shared" si="446"/>
        <v>0</v>
      </c>
      <c r="AT110" s="22">
        <f t="shared" si="446"/>
        <v>0</v>
      </c>
      <c r="AU110" s="22">
        <f t="shared" si="446"/>
        <v>342.03</v>
      </c>
      <c r="AV110" s="22">
        <f t="shared" si="446"/>
        <v>38.22</v>
      </c>
      <c r="AW110" s="22">
        <f t="shared" si="446"/>
        <v>0</v>
      </c>
      <c r="AX110" s="22">
        <f t="shared" si="446"/>
        <v>15</v>
      </c>
      <c r="AY110" s="22">
        <f t="shared" si="446"/>
        <v>1384.97</v>
      </c>
      <c r="AZ110" s="22">
        <f t="shared" si="446"/>
        <v>141.44</v>
      </c>
      <c r="BA110" s="22">
        <f t="shared" si="446"/>
        <v>1526.41</v>
      </c>
      <c r="BB110" s="22">
        <f t="shared" si="446"/>
        <v>1396.75</v>
      </c>
      <c r="BC110" s="22">
        <f t="shared" si="446"/>
        <v>140.96</v>
      </c>
      <c r="BD110" s="22">
        <f t="shared" si="446"/>
        <v>-11.780000000000086</v>
      </c>
      <c r="BE110" s="22">
        <f t="shared" si="446"/>
        <v>0.47999999999998977</v>
      </c>
      <c r="BF110" s="22">
        <f t="shared" si="446"/>
        <v>279.35000000000002</v>
      </c>
      <c r="BG110" s="120">
        <f t="shared" si="446"/>
        <v>28.19</v>
      </c>
      <c r="BH110" s="120">
        <f t="shared" si="446"/>
        <v>121.13</v>
      </c>
      <c r="BI110" s="120">
        <f t="shared" si="446"/>
        <v>4.28</v>
      </c>
      <c r="BJ110" s="120">
        <f t="shared" si="446"/>
        <v>55</v>
      </c>
      <c r="BK110" s="120">
        <f t="shared" si="446"/>
        <v>5</v>
      </c>
      <c r="BL110" s="120">
        <f t="shared" si="446"/>
        <v>1561.1</v>
      </c>
      <c r="BM110" s="120">
        <f t="shared" si="446"/>
        <v>150.72</v>
      </c>
      <c r="BN110" s="120">
        <f t="shared" si="446"/>
        <v>1711.82</v>
      </c>
      <c r="BO110" s="120">
        <f t="shared" si="446"/>
        <v>1509.58</v>
      </c>
      <c r="BP110" s="120">
        <f t="shared" si="446"/>
        <v>142.66999999999999</v>
      </c>
      <c r="BQ110" s="22">
        <f t="shared" si="446"/>
        <v>51.519999999999868</v>
      </c>
      <c r="BR110" s="22">
        <f t="shared" si="446"/>
        <v>8.0500000000000114</v>
      </c>
      <c r="BS110" s="22">
        <f t="shared" si="446"/>
        <v>137.24</v>
      </c>
      <c r="BT110" s="22">
        <f t="shared" si="446"/>
        <v>12.97</v>
      </c>
      <c r="BU110" s="22">
        <f t="shared" si="446"/>
        <v>106.09</v>
      </c>
      <c r="BV110" s="22">
        <f t="shared" si="446"/>
        <v>4.62</v>
      </c>
      <c r="BW110" s="22">
        <f t="shared" si="446"/>
        <v>145</v>
      </c>
      <c r="BX110" s="22">
        <f t="shared" si="446"/>
        <v>0</v>
      </c>
      <c r="BY110" s="22">
        <f t="shared" si="446"/>
        <v>0</v>
      </c>
      <c r="BZ110" s="22">
        <f t="shared" si="446"/>
        <v>0</v>
      </c>
      <c r="CA110" s="22">
        <f t="shared" si="446"/>
        <v>1812.1899999999998</v>
      </c>
      <c r="CB110" s="22">
        <f t="shared" si="446"/>
        <v>155.34</v>
      </c>
    </row>
    <row r="111" spans="1:80" ht="18" x14ac:dyDescent="0.3">
      <c r="A111" s="13">
        <v>16</v>
      </c>
      <c r="B111" s="13"/>
      <c r="C111" s="14"/>
      <c r="D111" s="15" t="s">
        <v>172</v>
      </c>
      <c r="E111" s="16"/>
      <c r="F111" s="82">
        <v>1552.54</v>
      </c>
      <c r="G111" s="82">
        <v>268.20999999999998</v>
      </c>
      <c r="H111" s="82">
        <v>1552.54</v>
      </c>
      <c r="I111" s="17">
        <v>268.20999999999998</v>
      </c>
      <c r="J111" s="87">
        <v>1800</v>
      </c>
      <c r="K111" s="88">
        <v>0</v>
      </c>
      <c r="L111" s="88">
        <v>0</v>
      </c>
      <c r="M111" s="88">
        <f t="shared" si="385"/>
        <v>1800</v>
      </c>
      <c r="N111" s="88">
        <v>0</v>
      </c>
      <c r="O111" s="88">
        <v>0</v>
      </c>
      <c r="P111" s="88">
        <v>0</v>
      </c>
      <c r="Q111" s="88">
        <f t="shared" ref="Q111:Q112" si="447">N111+O111+P111</f>
        <v>0</v>
      </c>
      <c r="R111" s="88">
        <f t="shared" si="413"/>
        <v>1800</v>
      </c>
      <c r="S111" s="88">
        <v>250</v>
      </c>
      <c r="V111" s="17">
        <f t="shared" ref="V111:V112" si="448">ROUND(H111*1.0583,2)</f>
        <v>1643.05</v>
      </c>
      <c r="W111" s="17">
        <f t="shared" ref="W111:W112" si="449">ROUND(I111*1.0327,2)</f>
        <v>276.98</v>
      </c>
      <c r="X111" s="110">
        <f t="shared" si="252"/>
        <v>156.95000000000005</v>
      </c>
      <c r="Y111" s="110">
        <f t="shared" si="253"/>
        <v>-26.980000000000018</v>
      </c>
      <c r="Z111" s="110">
        <v>1643.05</v>
      </c>
      <c r="AA111" s="110"/>
      <c r="AB111" s="110">
        <f t="shared" si="254"/>
        <v>1643.05</v>
      </c>
      <c r="AC111" s="111">
        <f t="shared" si="255"/>
        <v>0</v>
      </c>
      <c r="AD111" s="110">
        <f t="shared" ref="AD111:AD112" si="450">IF(X111&gt;0,V111,R111)</f>
        <v>1643.05</v>
      </c>
      <c r="AE111" s="110">
        <f t="shared" ref="AE111:AE112" si="451">IF(Y111&gt;0,W111,S111)</f>
        <v>250</v>
      </c>
      <c r="AF111" s="110">
        <f t="shared" si="256"/>
        <v>225.55</v>
      </c>
      <c r="AG111" s="110">
        <f t="shared" si="257"/>
        <v>411</v>
      </c>
      <c r="AH111" s="110">
        <f t="shared" si="258"/>
        <v>63</v>
      </c>
      <c r="AI111" s="129">
        <f t="shared" si="259"/>
        <v>137</v>
      </c>
      <c r="AJ111" s="110">
        <f t="shared" si="260"/>
        <v>21</v>
      </c>
      <c r="AM111" s="110">
        <f t="shared" si="261"/>
        <v>410.76</v>
      </c>
      <c r="AN111" s="110">
        <f t="shared" si="262"/>
        <v>60.88</v>
      </c>
      <c r="AQ111" s="110">
        <f t="shared" si="263"/>
        <v>821.76</v>
      </c>
      <c r="AR111" s="154">
        <f t="shared" si="264"/>
        <v>123.88</v>
      </c>
      <c r="AS111" s="154"/>
      <c r="AT111" s="154"/>
      <c r="AU111" s="154">
        <f t="shared" si="401"/>
        <v>410.76</v>
      </c>
      <c r="AV111" s="154">
        <f t="shared" si="136"/>
        <v>62.5</v>
      </c>
      <c r="AW111" s="154"/>
      <c r="AX111" s="154"/>
      <c r="AY111" s="110">
        <f t="shared" si="245"/>
        <v>1369.52</v>
      </c>
      <c r="AZ111" s="110">
        <f t="shared" si="246"/>
        <v>207.38</v>
      </c>
      <c r="BA111" s="110">
        <f t="shared" si="247"/>
        <v>1576.9</v>
      </c>
      <c r="BB111" s="142">
        <v>1261.79</v>
      </c>
      <c r="BC111" s="142">
        <v>185.37</v>
      </c>
      <c r="BD111" s="142">
        <f t="shared" si="248"/>
        <v>107.73000000000002</v>
      </c>
      <c r="BE111" s="142">
        <f t="shared" si="249"/>
        <v>22.009999999999991</v>
      </c>
      <c r="BF111" s="142">
        <f t="shared" si="250"/>
        <v>252.36</v>
      </c>
      <c r="BG111" s="142">
        <f t="shared" si="251"/>
        <v>37.07</v>
      </c>
      <c r="BH111" s="110">
        <v>72.319999999999993</v>
      </c>
      <c r="BI111" s="146">
        <v>7.53</v>
      </c>
      <c r="BJ111" s="146"/>
      <c r="BK111" s="146"/>
      <c r="BL111" s="110">
        <f t="shared" si="271"/>
        <v>1441.84</v>
      </c>
      <c r="BM111" s="110">
        <f t="shared" si="272"/>
        <v>214.91</v>
      </c>
      <c r="BN111" s="110">
        <f t="shared" si="273"/>
        <v>1656.75</v>
      </c>
      <c r="BO111" s="110">
        <v>1399.61</v>
      </c>
      <c r="BP111" s="129">
        <v>208.15</v>
      </c>
      <c r="BQ111" s="110">
        <f t="shared" si="274"/>
        <v>42.230000000000018</v>
      </c>
      <c r="BR111" s="110">
        <f t="shared" si="275"/>
        <v>6.7599999999999909</v>
      </c>
      <c r="BS111" s="110">
        <f t="shared" si="276"/>
        <v>127.24</v>
      </c>
      <c r="BT111" s="110">
        <f t="shared" si="277"/>
        <v>18.920000000000002</v>
      </c>
      <c r="BU111" s="110">
        <f t="shared" si="287"/>
        <v>85.009999999999977</v>
      </c>
      <c r="BV111" s="146">
        <v>57.09</v>
      </c>
      <c r="BW111" s="111">
        <v>31.6</v>
      </c>
      <c r="BX111" s="146">
        <v>10.64</v>
      </c>
      <c r="BY111" s="146"/>
      <c r="BZ111" s="146"/>
      <c r="CA111" s="110">
        <f t="shared" si="278"/>
        <v>1558.4499999999998</v>
      </c>
      <c r="CB111" s="110">
        <f t="shared" si="279"/>
        <v>282.64</v>
      </c>
    </row>
    <row r="112" spans="1:80" ht="18" x14ac:dyDescent="0.3">
      <c r="A112" s="13">
        <v>17</v>
      </c>
      <c r="B112" s="13"/>
      <c r="C112" s="14"/>
      <c r="D112" s="15" t="s">
        <v>173</v>
      </c>
      <c r="E112" s="16"/>
      <c r="F112" s="82">
        <v>1653.5699999999997</v>
      </c>
      <c r="G112" s="82">
        <v>0</v>
      </c>
      <c r="H112" s="82">
        <v>1653.5699999999997</v>
      </c>
      <c r="I112" s="17">
        <v>0</v>
      </c>
      <c r="J112" s="87">
        <v>1997.5</v>
      </c>
      <c r="K112" s="88">
        <v>0</v>
      </c>
      <c r="L112" s="88">
        <v>0</v>
      </c>
      <c r="M112" s="88">
        <f t="shared" si="385"/>
        <v>1997.5</v>
      </c>
      <c r="N112" s="88">
        <v>142.5</v>
      </c>
      <c r="O112" s="88">
        <v>0</v>
      </c>
      <c r="P112" s="88">
        <v>0</v>
      </c>
      <c r="Q112" s="88">
        <f t="shared" si="447"/>
        <v>142.5</v>
      </c>
      <c r="R112" s="88">
        <f t="shared" si="413"/>
        <v>2140</v>
      </c>
      <c r="S112" s="88">
        <v>0</v>
      </c>
      <c r="V112" s="17">
        <f t="shared" si="448"/>
        <v>1749.97</v>
      </c>
      <c r="W112" s="17">
        <f t="shared" si="449"/>
        <v>0</v>
      </c>
      <c r="X112" s="110">
        <f t="shared" si="252"/>
        <v>390.03</v>
      </c>
      <c r="Y112" s="110">
        <f t="shared" si="253"/>
        <v>0</v>
      </c>
      <c r="Z112" s="110">
        <v>1664.97</v>
      </c>
      <c r="AA112" s="110">
        <v>85</v>
      </c>
      <c r="AB112" s="110">
        <f t="shared" si="254"/>
        <v>1749.97</v>
      </c>
      <c r="AC112" s="111">
        <f t="shared" si="255"/>
        <v>0</v>
      </c>
      <c r="AD112" s="110">
        <f t="shared" si="450"/>
        <v>1749.97</v>
      </c>
      <c r="AE112" s="110">
        <f t="shared" si="451"/>
        <v>0</v>
      </c>
      <c r="AF112" s="110">
        <f t="shared" si="256"/>
        <v>0</v>
      </c>
      <c r="AG112" s="110">
        <f t="shared" si="257"/>
        <v>437</v>
      </c>
      <c r="AH112" s="110">
        <f t="shared" si="258"/>
        <v>0</v>
      </c>
      <c r="AI112" s="129">
        <f t="shared" si="259"/>
        <v>146</v>
      </c>
      <c r="AJ112" s="110">
        <f t="shared" si="260"/>
        <v>0</v>
      </c>
      <c r="AM112" s="110">
        <f t="shared" si="261"/>
        <v>437.49</v>
      </c>
      <c r="AN112" s="110">
        <f t="shared" si="262"/>
        <v>0</v>
      </c>
      <c r="AQ112" s="110">
        <f t="shared" si="263"/>
        <v>874.49</v>
      </c>
      <c r="AR112" s="154">
        <f t="shared" si="264"/>
        <v>0</v>
      </c>
      <c r="AS112" s="154"/>
      <c r="AT112" s="154"/>
      <c r="AU112" s="154">
        <f t="shared" si="401"/>
        <v>437.49</v>
      </c>
      <c r="AV112" s="154">
        <f t="shared" si="136"/>
        <v>0</v>
      </c>
      <c r="AW112" s="154"/>
      <c r="AX112" s="154"/>
      <c r="AY112" s="110">
        <f t="shared" si="245"/>
        <v>1457.98</v>
      </c>
      <c r="AZ112" s="110">
        <f t="shared" si="246"/>
        <v>0</v>
      </c>
      <c r="BA112" s="110">
        <f t="shared" si="247"/>
        <v>1457.98</v>
      </c>
      <c r="BB112" s="142">
        <v>833.5</v>
      </c>
      <c r="BD112" s="142">
        <f t="shared" si="248"/>
        <v>624.48</v>
      </c>
      <c r="BE112" s="142">
        <f t="shared" si="249"/>
        <v>0</v>
      </c>
      <c r="BF112" s="142">
        <f t="shared" si="250"/>
        <v>166.7</v>
      </c>
      <c r="BG112" s="142">
        <f t="shared" si="251"/>
        <v>0</v>
      </c>
      <c r="BH112" s="110">
        <v>0</v>
      </c>
      <c r="BI112" s="110">
        <v>0</v>
      </c>
      <c r="BL112" s="110">
        <f t="shared" si="271"/>
        <v>1457.98</v>
      </c>
      <c r="BM112" s="110">
        <f t="shared" si="272"/>
        <v>0</v>
      </c>
      <c r="BN112" s="110">
        <f t="shared" si="273"/>
        <v>1457.98</v>
      </c>
      <c r="BO112" s="110">
        <v>1270.49</v>
      </c>
      <c r="BP112" s="129"/>
      <c r="BQ112" s="110">
        <f t="shared" si="274"/>
        <v>187.49</v>
      </c>
      <c r="BR112" s="110">
        <f t="shared" si="275"/>
        <v>0</v>
      </c>
      <c r="BS112" s="110">
        <f t="shared" si="276"/>
        <v>115.5</v>
      </c>
      <c r="BT112" s="110">
        <f t="shared" si="277"/>
        <v>0</v>
      </c>
      <c r="BU112" s="110">
        <v>0</v>
      </c>
      <c r="BV112" s="110">
        <f>ROUND(BT112-BR112,2)</f>
        <v>0</v>
      </c>
      <c r="CA112" s="110">
        <f t="shared" si="278"/>
        <v>1457.98</v>
      </c>
      <c r="CB112" s="110">
        <f t="shared" si="279"/>
        <v>0</v>
      </c>
    </row>
    <row r="113" spans="1:80" ht="18" x14ac:dyDescent="0.3">
      <c r="A113" s="18"/>
      <c r="B113" s="18" t="s">
        <v>174</v>
      </c>
      <c r="C113" s="19" t="s">
        <v>45</v>
      </c>
      <c r="D113" s="20" t="s">
        <v>172</v>
      </c>
      <c r="E113" s="21" t="s">
        <v>175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9">
        <f t="shared" ref="J113:AA113" si="452">+J111+J112</f>
        <v>3797.5</v>
      </c>
      <c r="K113" s="89">
        <f t="shared" si="452"/>
        <v>0</v>
      </c>
      <c r="L113" s="89">
        <f t="shared" si="452"/>
        <v>0</v>
      </c>
      <c r="M113" s="89">
        <f t="shared" si="452"/>
        <v>3797.5</v>
      </c>
      <c r="N113" s="89">
        <f t="shared" si="452"/>
        <v>142.5</v>
      </c>
      <c r="O113" s="89">
        <f t="shared" si="452"/>
        <v>0</v>
      </c>
      <c r="P113" s="89">
        <f t="shared" si="452"/>
        <v>0</v>
      </c>
      <c r="Q113" s="89">
        <f t="shared" si="452"/>
        <v>142.5</v>
      </c>
      <c r="R113" s="89">
        <f t="shared" si="452"/>
        <v>3940</v>
      </c>
      <c r="S113" s="89">
        <f t="shared" si="452"/>
        <v>250</v>
      </c>
      <c r="T113" s="89">
        <f t="shared" si="452"/>
        <v>0</v>
      </c>
      <c r="U113" s="89">
        <f t="shared" si="452"/>
        <v>0</v>
      </c>
      <c r="V113" s="89">
        <f t="shared" si="452"/>
        <v>3393.02</v>
      </c>
      <c r="W113" s="89">
        <f t="shared" si="452"/>
        <v>276.98</v>
      </c>
      <c r="X113" s="89">
        <f t="shared" si="452"/>
        <v>546.98</v>
      </c>
      <c r="Y113" s="89">
        <f t="shared" si="452"/>
        <v>-26.980000000000018</v>
      </c>
      <c r="Z113" s="89">
        <f t="shared" si="452"/>
        <v>3308.02</v>
      </c>
      <c r="AA113" s="89">
        <f t="shared" si="452"/>
        <v>85</v>
      </c>
      <c r="AB113" s="22">
        <f t="shared" si="254"/>
        <v>3393.02</v>
      </c>
      <c r="AC113" s="111">
        <f t="shared" si="255"/>
        <v>0</v>
      </c>
      <c r="AD113" s="22">
        <f t="shared" ref="AD113:CB113" si="453">+AD111+AD112</f>
        <v>3393.02</v>
      </c>
      <c r="AE113" s="22">
        <f t="shared" si="453"/>
        <v>250</v>
      </c>
      <c r="AF113" s="22">
        <f t="shared" si="453"/>
        <v>225.55</v>
      </c>
      <c r="AG113" s="22">
        <f t="shared" si="453"/>
        <v>848</v>
      </c>
      <c r="AH113" s="22">
        <f t="shared" si="453"/>
        <v>63</v>
      </c>
      <c r="AI113" s="120">
        <f t="shared" si="453"/>
        <v>283</v>
      </c>
      <c r="AJ113" s="22">
        <f t="shared" si="453"/>
        <v>21</v>
      </c>
      <c r="AK113" s="22">
        <f t="shared" si="453"/>
        <v>0</v>
      </c>
      <c r="AL113" s="22">
        <f t="shared" si="453"/>
        <v>0</v>
      </c>
      <c r="AM113" s="22">
        <f t="shared" si="453"/>
        <v>848.25</v>
      </c>
      <c r="AN113" s="22">
        <f t="shared" si="453"/>
        <v>60.88</v>
      </c>
      <c r="AO113" s="22">
        <f t="shared" si="453"/>
        <v>0</v>
      </c>
      <c r="AP113" s="22">
        <f t="shared" si="453"/>
        <v>0</v>
      </c>
      <c r="AQ113" s="22">
        <f t="shared" si="453"/>
        <v>1696.25</v>
      </c>
      <c r="AR113" s="22">
        <f t="shared" si="453"/>
        <v>123.88</v>
      </c>
      <c r="AS113" s="22">
        <f t="shared" si="453"/>
        <v>0</v>
      </c>
      <c r="AT113" s="22">
        <f t="shared" si="453"/>
        <v>0</v>
      </c>
      <c r="AU113" s="22">
        <f t="shared" si="453"/>
        <v>848.25</v>
      </c>
      <c r="AV113" s="22">
        <f t="shared" si="453"/>
        <v>62.5</v>
      </c>
      <c r="AW113" s="22">
        <f t="shared" si="453"/>
        <v>0</v>
      </c>
      <c r="AX113" s="22">
        <f t="shared" si="453"/>
        <v>0</v>
      </c>
      <c r="AY113" s="22">
        <f t="shared" si="453"/>
        <v>2827.5</v>
      </c>
      <c r="AZ113" s="22">
        <f t="shared" si="453"/>
        <v>207.38</v>
      </c>
      <c r="BA113" s="22">
        <f t="shared" si="453"/>
        <v>3034.88</v>
      </c>
      <c r="BB113" s="22">
        <f t="shared" si="453"/>
        <v>2095.29</v>
      </c>
      <c r="BC113" s="22">
        <f t="shared" si="453"/>
        <v>185.37</v>
      </c>
      <c r="BD113" s="22">
        <f t="shared" si="453"/>
        <v>732.21</v>
      </c>
      <c r="BE113" s="22">
        <f t="shared" si="453"/>
        <v>22.009999999999991</v>
      </c>
      <c r="BF113" s="22">
        <f t="shared" si="453"/>
        <v>419.06</v>
      </c>
      <c r="BG113" s="120">
        <f t="shared" si="453"/>
        <v>37.07</v>
      </c>
      <c r="BH113" s="120">
        <f t="shared" si="453"/>
        <v>72.319999999999993</v>
      </c>
      <c r="BI113" s="120">
        <f t="shared" si="453"/>
        <v>7.53</v>
      </c>
      <c r="BJ113" s="120">
        <f t="shared" si="453"/>
        <v>0</v>
      </c>
      <c r="BK113" s="120">
        <f t="shared" si="453"/>
        <v>0</v>
      </c>
      <c r="BL113" s="120">
        <f t="shared" si="453"/>
        <v>2899.8199999999997</v>
      </c>
      <c r="BM113" s="120">
        <f t="shared" si="453"/>
        <v>214.91</v>
      </c>
      <c r="BN113" s="120">
        <f t="shared" si="453"/>
        <v>3114.73</v>
      </c>
      <c r="BO113" s="120">
        <f t="shared" si="453"/>
        <v>2670.1</v>
      </c>
      <c r="BP113" s="120">
        <f t="shared" si="453"/>
        <v>208.15</v>
      </c>
      <c r="BQ113" s="22">
        <f t="shared" si="453"/>
        <v>229.72000000000003</v>
      </c>
      <c r="BR113" s="22">
        <f t="shared" si="453"/>
        <v>6.7599999999999909</v>
      </c>
      <c r="BS113" s="22">
        <f t="shared" si="453"/>
        <v>242.74</v>
      </c>
      <c r="BT113" s="22">
        <f t="shared" si="453"/>
        <v>18.920000000000002</v>
      </c>
      <c r="BU113" s="22">
        <f t="shared" si="453"/>
        <v>85.009999999999977</v>
      </c>
      <c r="BV113" s="22">
        <f t="shared" si="453"/>
        <v>57.09</v>
      </c>
      <c r="BW113" s="22">
        <f t="shared" si="453"/>
        <v>31.6</v>
      </c>
      <c r="BX113" s="22">
        <f t="shared" si="453"/>
        <v>10.64</v>
      </c>
      <c r="BY113" s="22">
        <f t="shared" si="453"/>
        <v>0</v>
      </c>
      <c r="BZ113" s="22">
        <f t="shared" si="453"/>
        <v>0</v>
      </c>
      <c r="CA113" s="22">
        <f t="shared" si="453"/>
        <v>3016.43</v>
      </c>
      <c r="CB113" s="22">
        <f t="shared" si="453"/>
        <v>282.64</v>
      </c>
    </row>
    <row r="114" spans="1:80" ht="18" x14ac:dyDescent="0.3">
      <c r="A114" s="18">
        <v>18</v>
      </c>
      <c r="B114" s="18" t="s">
        <v>176</v>
      </c>
      <c r="C114" s="19" t="s">
        <v>64</v>
      </c>
      <c r="D114" s="7" t="s">
        <v>177</v>
      </c>
      <c r="E114" s="21">
        <v>720200</v>
      </c>
      <c r="F114" s="82">
        <v>726.06</v>
      </c>
      <c r="G114" s="82">
        <v>113.11999999999999</v>
      </c>
      <c r="H114" s="82">
        <v>726.06</v>
      </c>
      <c r="I114" s="22">
        <v>113.11999999999999</v>
      </c>
      <c r="J114" s="89">
        <v>800.1</v>
      </c>
      <c r="K114" s="89">
        <v>0</v>
      </c>
      <c r="L114" s="89">
        <v>0</v>
      </c>
      <c r="M114" s="89">
        <f>L114+K114+J114</f>
        <v>800.1</v>
      </c>
      <c r="N114" s="89">
        <v>0</v>
      </c>
      <c r="O114" s="89">
        <v>0</v>
      </c>
      <c r="P114" s="89">
        <v>0</v>
      </c>
      <c r="Q114" s="89">
        <f>P114+O114+N114</f>
        <v>0</v>
      </c>
      <c r="R114" s="89">
        <f>+Q114+M114</f>
        <v>800.1</v>
      </c>
      <c r="S114" s="89">
        <v>0</v>
      </c>
      <c r="V114" s="22">
        <f t="shared" ref="V114:V115" si="454">ROUND(H114*1.0583,2)</f>
        <v>768.39</v>
      </c>
      <c r="W114" s="22">
        <f t="shared" ref="W114:W115" si="455">ROUND(I114*1.0327,2)</f>
        <v>116.82</v>
      </c>
      <c r="X114" s="22">
        <f t="shared" si="252"/>
        <v>31.710000000000036</v>
      </c>
      <c r="Y114" s="22">
        <f t="shared" si="253"/>
        <v>-116.82</v>
      </c>
      <c r="Z114" s="22">
        <v>768.39</v>
      </c>
      <c r="AA114" s="22"/>
      <c r="AB114" s="22">
        <f t="shared" si="254"/>
        <v>768.39</v>
      </c>
      <c r="AC114" s="111">
        <f t="shared" si="255"/>
        <v>0</v>
      </c>
      <c r="AD114" s="22">
        <f t="shared" ref="AD114:AD115" si="456">IF(X114&gt;0,V114,R114)</f>
        <v>768.39</v>
      </c>
      <c r="AE114" s="22">
        <f>IF(Y114&gt;0,W114,S114)+13.75</f>
        <v>13.75</v>
      </c>
      <c r="AF114" s="22">
        <f t="shared" si="256"/>
        <v>0</v>
      </c>
      <c r="AG114" s="110">
        <f t="shared" si="257"/>
        <v>192</v>
      </c>
      <c r="AH114" s="110">
        <f>ROUND(AE114/4,0)-3</f>
        <v>0</v>
      </c>
      <c r="AI114" s="129">
        <f t="shared" si="259"/>
        <v>64</v>
      </c>
      <c r="AJ114" s="110">
        <f>ROUND(AE114/12,0)-1</f>
        <v>0</v>
      </c>
      <c r="AK114" s="146"/>
      <c r="AL114" s="146">
        <v>13.75</v>
      </c>
      <c r="AM114" s="110">
        <f t="shared" si="261"/>
        <v>192.1</v>
      </c>
      <c r="AN114" s="118">
        <f>ROUND(AE114*24.35%,2)-3.35</f>
        <v>0</v>
      </c>
      <c r="AO114" s="146">
        <v>46.65</v>
      </c>
      <c r="AP114" s="118"/>
      <c r="AQ114" s="118">
        <f t="shared" si="263"/>
        <v>430.75</v>
      </c>
      <c r="AR114" s="141">
        <f t="shared" si="264"/>
        <v>13.75</v>
      </c>
      <c r="AS114" s="141"/>
      <c r="AT114" s="141"/>
      <c r="AU114" s="141">
        <f t="shared" si="401"/>
        <v>192.1</v>
      </c>
      <c r="AV114" s="141">
        <v>0</v>
      </c>
      <c r="AW114" s="145">
        <v>41.1</v>
      </c>
      <c r="AX114" s="145">
        <v>1.38</v>
      </c>
      <c r="AY114" s="110">
        <f t="shared" si="245"/>
        <v>727.95</v>
      </c>
      <c r="AZ114" s="110">
        <f t="shared" si="246"/>
        <v>15.129999999999999</v>
      </c>
      <c r="BA114" s="110">
        <f t="shared" si="247"/>
        <v>743.08</v>
      </c>
      <c r="BB114" s="142">
        <v>727.78</v>
      </c>
      <c r="BC114" s="142">
        <v>15.13</v>
      </c>
      <c r="BD114" s="142">
        <f t="shared" si="248"/>
        <v>0.17000000000007276</v>
      </c>
      <c r="BE114" s="142">
        <f t="shared" si="249"/>
        <v>0</v>
      </c>
      <c r="BF114" s="142">
        <f t="shared" si="250"/>
        <v>145.56</v>
      </c>
      <c r="BG114" s="142">
        <f t="shared" si="251"/>
        <v>3.03</v>
      </c>
      <c r="BH114" s="110">
        <v>77</v>
      </c>
      <c r="BI114" s="110">
        <v>0</v>
      </c>
      <c r="BL114" s="110">
        <f t="shared" si="271"/>
        <v>804.95</v>
      </c>
      <c r="BM114" s="110">
        <f t="shared" si="272"/>
        <v>15.129999999999999</v>
      </c>
      <c r="BN114" s="110">
        <f t="shared" si="273"/>
        <v>820.08</v>
      </c>
      <c r="BO114" s="110">
        <v>804.31</v>
      </c>
      <c r="BP114" s="129">
        <v>15.13</v>
      </c>
      <c r="BQ114" s="110">
        <f t="shared" si="274"/>
        <v>0.64000000000010004</v>
      </c>
      <c r="BR114" s="110">
        <f t="shared" si="275"/>
        <v>0</v>
      </c>
      <c r="BS114" s="110">
        <f t="shared" si="276"/>
        <v>73.12</v>
      </c>
      <c r="BT114" s="110">
        <f t="shared" si="277"/>
        <v>1.38</v>
      </c>
      <c r="BU114" s="146">
        <v>70</v>
      </c>
      <c r="BV114" s="110">
        <v>0</v>
      </c>
      <c r="BW114" s="111">
        <v>6</v>
      </c>
      <c r="CA114" s="110">
        <f t="shared" si="278"/>
        <v>880.95</v>
      </c>
      <c r="CB114" s="110">
        <f t="shared" si="279"/>
        <v>15.129999999999999</v>
      </c>
    </row>
    <row r="115" spans="1:80" ht="18" x14ac:dyDescent="0.3">
      <c r="A115" s="13">
        <v>19</v>
      </c>
      <c r="B115" s="13"/>
      <c r="C115" s="14"/>
      <c r="D115" s="15" t="s">
        <v>178</v>
      </c>
      <c r="E115" s="16"/>
      <c r="F115" s="82">
        <v>566.9</v>
      </c>
      <c r="G115" s="82">
        <v>94.660000000000011</v>
      </c>
      <c r="H115" s="82">
        <v>572.9</v>
      </c>
      <c r="I115" s="17">
        <v>94.660000000000011</v>
      </c>
      <c r="J115" s="87">
        <v>750</v>
      </c>
      <c r="K115" s="88">
        <v>0</v>
      </c>
      <c r="L115" s="88">
        <v>0</v>
      </c>
      <c r="M115" s="88">
        <f t="shared" ref="M115:M116" si="457">J115+K115+L115</f>
        <v>750</v>
      </c>
      <c r="N115" s="88">
        <v>0</v>
      </c>
      <c r="O115" s="88">
        <v>0</v>
      </c>
      <c r="P115" s="88">
        <v>0</v>
      </c>
      <c r="Q115" s="88">
        <f t="shared" ref="Q115:Q116" si="458">N115+O115+P115</f>
        <v>0</v>
      </c>
      <c r="R115" s="88">
        <f t="shared" ref="R115:R116" si="459">Q115+M115</f>
        <v>750</v>
      </c>
      <c r="S115" s="88">
        <v>119</v>
      </c>
      <c r="V115" s="17">
        <f t="shared" si="454"/>
        <v>606.29999999999995</v>
      </c>
      <c r="W115" s="17">
        <f t="shared" si="455"/>
        <v>97.76</v>
      </c>
      <c r="X115" s="110">
        <f t="shared" si="252"/>
        <v>143.70000000000005</v>
      </c>
      <c r="Y115" s="110">
        <f t="shared" si="253"/>
        <v>21.239999999999995</v>
      </c>
      <c r="Z115" s="110">
        <v>606.29999999999995</v>
      </c>
      <c r="AA115" s="110"/>
      <c r="AB115" s="110">
        <f t="shared" si="254"/>
        <v>606.29999999999995</v>
      </c>
      <c r="AC115" s="111">
        <f t="shared" si="255"/>
        <v>0</v>
      </c>
      <c r="AD115" s="110">
        <f t="shared" si="456"/>
        <v>606.29999999999995</v>
      </c>
      <c r="AE115" s="110">
        <f t="shared" ref="AE115" si="460">IF(Y115&gt;0,W115,S115)</f>
        <v>97.76</v>
      </c>
      <c r="AF115" s="110">
        <f t="shared" si="256"/>
        <v>107.36</v>
      </c>
      <c r="AG115" s="110">
        <f t="shared" si="257"/>
        <v>152</v>
      </c>
      <c r="AH115" s="110">
        <f t="shared" si="258"/>
        <v>24</v>
      </c>
      <c r="AI115" s="129">
        <f t="shared" si="259"/>
        <v>51</v>
      </c>
      <c r="AJ115" s="110">
        <f t="shared" si="260"/>
        <v>8</v>
      </c>
      <c r="AK115" s="146">
        <v>15</v>
      </c>
      <c r="AL115" s="146"/>
      <c r="AM115" s="110">
        <f t="shared" si="261"/>
        <v>151.58000000000001</v>
      </c>
      <c r="AN115" s="118">
        <f>ROUND(AE115*24.35%,2)+9.46</f>
        <v>33.260000000000005</v>
      </c>
      <c r="AO115" s="118"/>
      <c r="AP115" s="146">
        <v>26.74</v>
      </c>
      <c r="AQ115" s="118">
        <f t="shared" si="263"/>
        <v>318.58000000000004</v>
      </c>
      <c r="AR115" s="141">
        <f t="shared" si="264"/>
        <v>84</v>
      </c>
      <c r="AS115" s="141">
        <v>20</v>
      </c>
      <c r="AT115" s="141"/>
      <c r="AU115" s="141">
        <f t="shared" si="401"/>
        <v>151.58000000000001</v>
      </c>
      <c r="AV115" s="141">
        <v>0</v>
      </c>
      <c r="AW115" s="141"/>
      <c r="AX115" s="141"/>
      <c r="AY115" s="110">
        <f t="shared" si="245"/>
        <v>541.16000000000008</v>
      </c>
      <c r="AZ115" s="110">
        <f t="shared" si="246"/>
        <v>92</v>
      </c>
      <c r="BA115" s="110">
        <f t="shared" si="247"/>
        <v>633.16000000000008</v>
      </c>
      <c r="BB115" s="142">
        <v>539.78</v>
      </c>
      <c r="BC115" s="142">
        <v>84.62</v>
      </c>
      <c r="BD115" s="142">
        <f t="shared" si="248"/>
        <v>1.3800000000001091</v>
      </c>
      <c r="BE115" s="142">
        <f t="shared" si="249"/>
        <v>7.3799999999999955</v>
      </c>
      <c r="BF115" s="142">
        <f t="shared" si="250"/>
        <v>107.96</v>
      </c>
      <c r="BG115" s="142">
        <f t="shared" si="251"/>
        <v>16.920000000000002</v>
      </c>
      <c r="BH115" s="110">
        <v>53.29</v>
      </c>
      <c r="BI115" s="110">
        <v>0</v>
      </c>
      <c r="BL115" s="110">
        <f t="shared" si="271"/>
        <v>594.45000000000005</v>
      </c>
      <c r="BM115" s="110">
        <f t="shared" si="272"/>
        <v>92</v>
      </c>
      <c r="BN115" s="110">
        <f t="shared" si="273"/>
        <v>686.45</v>
      </c>
      <c r="BO115" s="110">
        <v>592.47</v>
      </c>
      <c r="BP115" s="129">
        <v>57.59</v>
      </c>
      <c r="BQ115" s="110">
        <f t="shared" si="274"/>
        <v>1.9800000000000182</v>
      </c>
      <c r="BR115" s="110">
        <f t="shared" si="275"/>
        <v>34.409999999999997</v>
      </c>
      <c r="BS115" s="110">
        <f t="shared" si="276"/>
        <v>53.86</v>
      </c>
      <c r="BT115" s="110">
        <f t="shared" si="277"/>
        <v>5.24</v>
      </c>
      <c r="BU115" s="146">
        <v>55</v>
      </c>
      <c r="BV115" s="110">
        <v>0</v>
      </c>
      <c r="BX115" s="110">
        <v>51.25</v>
      </c>
      <c r="CA115" s="110">
        <f t="shared" si="278"/>
        <v>649.45000000000005</v>
      </c>
      <c r="CB115" s="110">
        <f t="shared" si="279"/>
        <v>143.25</v>
      </c>
    </row>
    <row r="116" spans="1:80" ht="36" x14ac:dyDescent="0.3">
      <c r="A116" s="13">
        <v>20</v>
      </c>
      <c r="B116" s="13"/>
      <c r="C116" s="14"/>
      <c r="D116" s="15" t="s">
        <v>179</v>
      </c>
      <c r="E116" s="16"/>
      <c r="F116" s="82">
        <v>297.16000000000003</v>
      </c>
      <c r="G116" s="82">
        <v>0</v>
      </c>
      <c r="H116" s="82">
        <v>297.16000000000003</v>
      </c>
      <c r="I116" s="17">
        <v>0</v>
      </c>
      <c r="J116" s="87">
        <v>625</v>
      </c>
      <c r="K116" s="88">
        <v>0</v>
      </c>
      <c r="L116" s="88">
        <v>0</v>
      </c>
      <c r="M116" s="88">
        <f t="shared" si="457"/>
        <v>625</v>
      </c>
      <c r="N116" s="88">
        <v>0</v>
      </c>
      <c r="O116" s="88">
        <v>0</v>
      </c>
      <c r="P116" s="88">
        <v>0</v>
      </c>
      <c r="Q116" s="88">
        <f t="shared" si="458"/>
        <v>0</v>
      </c>
      <c r="R116" s="88">
        <f t="shared" si="459"/>
        <v>625</v>
      </c>
      <c r="S116" s="88">
        <v>0</v>
      </c>
      <c r="V116" s="17">
        <f t="shared" ref="V116" si="461">ROUND(H116*1.0583,2)</f>
        <v>314.48</v>
      </c>
      <c r="W116" s="17">
        <f t="shared" ref="W116" si="462">ROUND(I116*1.0327,2)</f>
        <v>0</v>
      </c>
      <c r="X116" s="110">
        <f t="shared" si="252"/>
        <v>310.52</v>
      </c>
      <c r="Y116" s="110">
        <f t="shared" si="253"/>
        <v>0</v>
      </c>
      <c r="Z116" s="110">
        <v>314.48</v>
      </c>
      <c r="AA116" s="110"/>
      <c r="AB116" s="110">
        <f t="shared" si="254"/>
        <v>314.48</v>
      </c>
      <c r="AC116" s="111">
        <f t="shared" si="255"/>
        <v>0</v>
      </c>
      <c r="AD116" s="110">
        <f t="shared" ref="AD116" si="463">IF(X116&gt;0,V116,R116)</f>
        <v>314.48</v>
      </c>
      <c r="AE116" s="110">
        <f t="shared" ref="AE116" si="464">IF(Y116&gt;0,W116,S116)</f>
        <v>0</v>
      </c>
      <c r="AF116" s="110">
        <f t="shared" si="256"/>
        <v>0</v>
      </c>
      <c r="AG116" s="110">
        <f t="shared" si="257"/>
        <v>79</v>
      </c>
      <c r="AH116" s="110">
        <f t="shared" si="258"/>
        <v>0</v>
      </c>
      <c r="AI116" s="129">
        <f t="shared" si="259"/>
        <v>26</v>
      </c>
      <c r="AJ116" s="110">
        <f t="shared" si="260"/>
        <v>0</v>
      </c>
      <c r="AM116" s="110">
        <f t="shared" si="261"/>
        <v>78.62</v>
      </c>
      <c r="AN116" s="118">
        <f t="shared" si="262"/>
        <v>0</v>
      </c>
      <c r="AO116" s="118"/>
      <c r="AP116" s="118"/>
      <c r="AQ116" s="118">
        <f t="shared" si="263"/>
        <v>157.62</v>
      </c>
      <c r="AR116" s="141">
        <f t="shared" si="264"/>
        <v>0</v>
      </c>
      <c r="AS116" s="141"/>
      <c r="AT116" s="141"/>
      <c r="AU116" s="141">
        <f t="shared" si="401"/>
        <v>78.62</v>
      </c>
      <c r="AV116" s="141">
        <f>ROUND(AE116*25%,2)</f>
        <v>0</v>
      </c>
      <c r="AW116" s="141"/>
      <c r="AX116" s="141"/>
      <c r="AY116" s="110">
        <f t="shared" si="245"/>
        <v>262.24</v>
      </c>
      <c r="AZ116" s="110">
        <f t="shared" si="246"/>
        <v>0</v>
      </c>
      <c r="BA116" s="110">
        <f t="shared" si="247"/>
        <v>262.24</v>
      </c>
      <c r="BB116" s="142">
        <v>262.24</v>
      </c>
      <c r="BD116" s="142">
        <f t="shared" si="248"/>
        <v>0</v>
      </c>
      <c r="BE116" s="142">
        <f t="shared" si="249"/>
        <v>0</v>
      </c>
      <c r="BF116" s="142">
        <f t="shared" si="250"/>
        <v>52.45</v>
      </c>
      <c r="BG116" s="142">
        <f t="shared" si="251"/>
        <v>0</v>
      </c>
      <c r="BH116" s="110">
        <v>26.23</v>
      </c>
      <c r="BI116" s="110">
        <v>0</v>
      </c>
      <c r="BL116" s="110">
        <f t="shared" si="271"/>
        <v>288.47000000000003</v>
      </c>
      <c r="BM116" s="110">
        <f t="shared" si="272"/>
        <v>0</v>
      </c>
      <c r="BN116" s="110">
        <f t="shared" si="273"/>
        <v>288.47000000000003</v>
      </c>
      <c r="BO116" s="110">
        <v>262.24</v>
      </c>
      <c r="BP116" s="129"/>
      <c r="BQ116" s="110">
        <f t="shared" si="274"/>
        <v>26.230000000000018</v>
      </c>
      <c r="BR116" s="110">
        <f t="shared" si="275"/>
        <v>0</v>
      </c>
      <c r="BS116" s="110">
        <f t="shared" si="276"/>
        <v>23.84</v>
      </c>
      <c r="BT116" s="110">
        <f t="shared" si="277"/>
        <v>0</v>
      </c>
      <c r="BU116" s="146">
        <f>25+10</f>
        <v>35</v>
      </c>
      <c r="BV116" s="110">
        <f t="shared" ref="BV116" si="465">ROUND(BT116-BR116,2)</f>
        <v>0</v>
      </c>
      <c r="CA116" s="110">
        <f t="shared" si="278"/>
        <v>323.47000000000003</v>
      </c>
      <c r="CB116" s="110">
        <f t="shared" si="279"/>
        <v>0</v>
      </c>
    </row>
    <row r="117" spans="1:80" ht="18" x14ac:dyDescent="0.3">
      <c r="A117" s="18"/>
      <c r="B117" s="18" t="s">
        <v>180</v>
      </c>
      <c r="C117" s="19" t="s">
        <v>64</v>
      </c>
      <c r="D117" s="20" t="s">
        <v>178</v>
      </c>
      <c r="E117" s="21" t="s">
        <v>181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9">
        <f t="shared" ref="J117:AA117" si="466">+J115+J116</f>
        <v>1375</v>
      </c>
      <c r="K117" s="89">
        <f t="shared" si="466"/>
        <v>0</v>
      </c>
      <c r="L117" s="89">
        <f t="shared" si="466"/>
        <v>0</v>
      </c>
      <c r="M117" s="89">
        <f t="shared" si="466"/>
        <v>1375</v>
      </c>
      <c r="N117" s="89">
        <f t="shared" si="466"/>
        <v>0</v>
      </c>
      <c r="O117" s="89">
        <f t="shared" si="466"/>
        <v>0</v>
      </c>
      <c r="P117" s="89">
        <f t="shared" si="466"/>
        <v>0</v>
      </c>
      <c r="Q117" s="89">
        <f t="shared" si="466"/>
        <v>0</v>
      </c>
      <c r="R117" s="89">
        <f t="shared" si="466"/>
        <v>1375</v>
      </c>
      <c r="S117" s="89">
        <f t="shared" si="466"/>
        <v>119</v>
      </c>
      <c r="T117" s="89">
        <f t="shared" si="466"/>
        <v>0</v>
      </c>
      <c r="U117" s="89">
        <f t="shared" si="466"/>
        <v>0</v>
      </c>
      <c r="V117" s="89">
        <f t="shared" si="466"/>
        <v>920.78</v>
      </c>
      <c r="W117" s="89">
        <f t="shared" si="466"/>
        <v>97.76</v>
      </c>
      <c r="X117" s="89">
        <f t="shared" si="466"/>
        <v>454.22</v>
      </c>
      <c r="Y117" s="89">
        <f t="shared" si="466"/>
        <v>21.239999999999995</v>
      </c>
      <c r="Z117" s="89">
        <f t="shared" si="466"/>
        <v>920.78</v>
      </c>
      <c r="AA117" s="89">
        <f t="shared" si="466"/>
        <v>0</v>
      </c>
      <c r="AB117" s="22">
        <f t="shared" si="254"/>
        <v>920.78</v>
      </c>
      <c r="AC117" s="111">
        <f t="shared" si="255"/>
        <v>0</v>
      </c>
      <c r="AD117" s="22">
        <f t="shared" ref="AD117:CB117" si="467">+AD115+AD116</f>
        <v>920.78</v>
      </c>
      <c r="AE117" s="22">
        <f t="shared" si="467"/>
        <v>97.76</v>
      </c>
      <c r="AF117" s="22">
        <f t="shared" si="467"/>
        <v>107.36</v>
      </c>
      <c r="AG117" s="22">
        <f t="shared" si="467"/>
        <v>231</v>
      </c>
      <c r="AH117" s="22">
        <f t="shared" si="467"/>
        <v>24</v>
      </c>
      <c r="AI117" s="120">
        <f t="shared" si="467"/>
        <v>77</v>
      </c>
      <c r="AJ117" s="22">
        <f t="shared" si="467"/>
        <v>8</v>
      </c>
      <c r="AK117" s="22">
        <f t="shared" si="467"/>
        <v>15</v>
      </c>
      <c r="AL117" s="22">
        <f t="shared" si="467"/>
        <v>0</v>
      </c>
      <c r="AM117" s="22">
        <f t="shared" si="467"/>
        <v>230.20000000000002</v>
      </c>
      <c r="AN117" s="22">
        <f t="shared" si="467"/>
        <v>33.260000000000005</v>
      </c>
      <c r="AO117" s="22">
        <f t="shared" si="467"/>
        <v>0</v>
      </c>
      <c r="AP117" s="22">
        <f t="shared" si="467"/>
        <v>26.74</v>
      </c>
      <c r="AQ117" s="22">
        <f t="shared" si="467"/>
        <v>476.20000000000005</v>
      </c>
      <c r="AR117" s="22">
        <f t="shared" si="467"/>
        <v>84</v>
      </c>
      <c r="AS117" s="22">
        <f t="shared" si="467"/>
        <v>20</v>
      </c>
      <c r="AT117" s="22">
        <f t="shared" si="467"/>
        <v>0</v>
      </c>
      <c r="AU117" s="22">
        <f t="shared" si="467"/>
        <v>230.20000000000002</v>
      </c>
      <c r="AV117" s="22">
        <f t="shared" si="467"/>
        <v>0</v>
      </c>
      <c r="AW117" s="22">
        <f t="shared" si="467"/>
        <v>0</v>
      </c>
      <c r="AX117" s="22">
        <f t="shared" si="467"/>
        <v>0</v>
      </c>
      <c r="AY117" s="22">
        <f t="shared" si="467"/>
        <v>803.40000000000009</v>
      </c>
      <c r="AZ117" s="22">
        <f t="shared" si="467"/>
        <v>92</v>
      </c>
      <c r="BA117" s="22">
        <f t="shared" si="467"/>
        <v>895.40000000000009</v>
      </c>
      <c r="BB117" s="22">
        <f t="shared" si="467"/>
        <v>802.02</v>
      </c>
      <c r="BC117" s="22">
        <f t="shared" si="467"/>
        <v>84.62</v>
      </c>
      <c r="BD117" s="22">
        <f t="shared" si="467"/>
        <v>1.3800000000001091</v>
      </c>
      <c r="BE117" s="22">
        <f t="shared" si="467"/>
        <v>7.3799999999999955</v>
      </c>
      <c r="BF117" s="22">
        <f t="shared" si="467"/>
        <v>160.41</v>
      </c>
      <c r="BG117" s="120">
        <f t="shared" si="467"/>
        <v>16.920000000000002</v>
      </c>
      <c r="BH117" s="120">
        <f t="shared" si="467"/>
        <v>79.52</v>
      </c>
      <c r="BI117" s="120">
        <f t="shared" si="467"/>
        <v>0</v>
      </c>
      <c r="BJ117" s="120">
        <f t="shared" si="467"/>
        <v>0</v>
      </c>
      <c r="BK117" s="120">
        <f t="shared" si="467"/>
        <v>0</v>
      </c>
      <c r="BL117" s="120">
        <f t="shared" si="467"/>
        <v>882.92000000000007</v>
      </c>
      <c r="BM117" s="120">
        <f t="shared" si="467"/>
        <v>92</v>
      </c>
      <c r="BN117" s="120">
        <f t="shared" si="467"/>
        <v>974.92000000000007</v>
      </c>
      <c r="BO117" s="120">
        <f t="shared" si="467"/>
        <v>854.71</v>
      </c>
      <c r="BP117" s="120">
        <f t="shared" si="467"/>
        <v>57.59</v>
      </c>
      <c r="BQ117" s="22">
        <f t="shared" si="467"/>
        <v>28.210000000000036</v>
      </c>
      <c r="BR117" s="22">
        <f t="shared" si="467"/>
        <v>34.409999999999997</v>
      </c>
      <c r="BS117" s="22">
        <f t="shared" si="467"/>
        <v>77.7</v>
      </c>
      <c r="BT117" s="22">
        <f t="shared" si="467"/>
        <v>5.24</v>
      </c>
      <c r="BU117" s="22">
        <f t="shared" si="467"/>
        <v>90</v>
      </c>
      <c r="BV117" s="22">
        <f t="shared" si="467"/>
        <v>0</v>
      </c>
      <c r="BW117" s="22">
        <f t="shared" si="467"/>
        <v>0</v>
      </c>
      <c r="BX117" s="22">
        <f t="shared" si="467"/>
        <v>51.25</v>
      </c>
      <c r="BY117" s="22">
        <f t="shared" si="467"/>
        <v>0</v>
      </c>
      <c r="BZ117" s="22">
        <f t="shared" si="467"/>
        <v>0</v>
      </c>
      <c r="CA117" s="22">
        <f t="shared" si="467"/>
        <v>972.92000000000007</v>
      </c>
      <c r="CB117" s="22">
        <f t="shared" si="467"/>
        <v>143.25</v>
      </c>
    </row>
    <row r="118" spans="1:80" ht="18" x14ac:dyDescent="0.3">
      <c r="A118" s="18">
        <v>21</v>
      </c>
      <c r="B118" s="18" t="s">
        <v>182</v>
      </c>
      <c r="C118" s="19" t="s">
        <v>13</v>
      </c>
      <c r="D118" s="20" t="s">
        <v>183</v>
      </c>
      <c r="E118" s="21" t="s">
        <v>184</v>
      </c>
      <c r="F118" s="82">
        <v>779.47</v>
      </c>
      <c r="G118" s="82">
        <v>145.17000000000002</v>
      </c>
      <c r="H118" s="82">
        <v>779.47</v>
      </c>
      <c r="I118" s="22">
        <v>270</v>
      </c>
      <c r="J118" s="89">
        <v>850</v>
      </c>
      <c r="K118" s="89">
        <v>70</v>
      </c>
      <c r="L118" s="89">
        <v>1</v>
      </c>
      <c r="M118" s="89">
        <f>+J118+K118+L118</f>
        <v>921</v>
      </c>
      <c r="N118" s="89">
        <v>0</v>
      </c>
      <c r="O118" s="89">
        <v>0</v>
      </c>
      <c r="P118" s="89">
        <v>0</v>
      </c>
      <c r="Q118" s="89">
        <f>+N118+O118+P118</f>
        <v>0</v>
      </c>
      <c r="R118" s="89">
        <f>+Q118+M118</f>
        <v>921</v>
      </c>
      <c r="S118" s="89">
        <v>115</v>
      </c>
      <c r="V118" s="22">
        <f t="shared" ref="V118:V120" si="468">ROUND(H118*1.0583,2)</f>
        <v>824.91</v>
      </c>
      <c r="W118" s="22">
        <f t="shared" ref="W118:W120" si="469">ROUND(I118*1.0327,2)</f>
        <v>278.83</v>
      </c>
      <c r="X118" s="22">
        <f t="shared" si="252"/>
        <v>96.090000000000032</v>
      </c>
      <c r="Y118" s="22">
        <f t="shared" si="253"/>
        <v>-163.82999999999998</v>
      </c>
      <c r="Z118" s="22">
        <v>824.91</v>
      </c>
      <c r="AA118" s="22"/>
      <c r="AB118" s="22">
        <f t="shared" si="254"/>
        <v>824.91</v>
      </c>
      <c r="AC118" s="111">
        <f t="shared" si="255"/>
        <v>0</v>
      </c>
      <c r="AD118" s="22">
        <f t="shared" ref="AD118:AD121" si="470">IF(X118&gt;0,V118,R118)</f>
        <v>824.91</v>
      </c>
      <c r="AE118" s="22">
        <f t="shared" ref="AE118:AE121" si="471">IF(Y118&gt;0,W118,S118)</f>
        <v>115</v>
      </c>
      <c r="AF118" s="22">
        <f t="shared" si="256"/>
        <v>103.75</v>
      </c>
      <c r="AG118" s="110">
        <f t="shared" si="257"/>
        <v>206</v>
      </c>
      <c r="AH118" s="110">
        <f t="shared" si="258"/>
        <v>29</v>
      </c>
      <c r="AI118" s="129">
        <f t="shared" si="259"/>
        <v>69</v>
      </c>
      <c r="AJ118" s="110">
        <f t="shared" si="260"/>
        <v>10</v>
      </c>
      <c r="AM118" s="110">
        <f t="shared" si="261"/>
        <v>206.23</v>
      </c>
      <c r="AN118" s="110">
        <f t="shared" si="262"/>
        <v>28</v>
      </c>
      <c r="AO118" s="118"/>
      <c r="AP118" s="118"/>
      <c r="AQ118" s="118">
        <f t="shared" si="263"/>
        <v>412.23</v>
      </c>
      <c r="AR118" s="141">
        <f t="shared" si="264"/>
        <v>57</v>
      </c>
      <c r="AS118" s="141"/>
      <c r="AT118" s="141"/>
      <c r="AU118" s="141">
        <f t="shared" si="401"/>
        <v>206.23</v>
      </c>
      <c r="AV118" s="141">
        <v>3</v>
      </c>
      <c r="AW118" s="141"/>
      <c r="AX118" s="141"/>
      <c r="AY118" s="110">
        <f t="shared" si="245"/>
        <v>687.46</v>
      </c>
      <c r="AZ118" s="110">
        <f t="shared" si="246"/>
        <v>70</v>
      </c>
      <c r="BA118" s="110">
        <f t="shared" si="247"/>
        <v>757.46</v>
      </c>
      <c r="BB118" s="142">
        <v>731.91</v>
      </c>
      <c r="BC118" s="142">
        <v>58.28</v>
      </c>
      <c r="BD118" s="142">
        <f t="shared" si="248"/>
        <v>-44.449999999999932</v>
      </c>
      <c r="BE118" s="142">
        <f t="shared" si="249"/>
        <v>11.719999999999999</v>
      </c>
      <c r="BF118" s="142">
        <f t="shared" si="250"/>
        <v>146.38</v>
      </c>
      <c r="BG118" s="142">
        <f t="shared" si="251"/>
        <v>11.66</v>
      </c>
      <c r="BH118" s="110">
        <v>95.42</v>
      </c>
      <c r="BI118" s="110">
        <v>0</v>
      </c>
      <c r="BL118" s="110">
        <f t="shared" si="271"/>
        <v>782.88</v>
      </c>
      <c r="BM118" s="110">
        <f t="shared" si="272"/>
        <v>70</v>
      </c>
      <c r="BN118" s="110">
        <f t="shared" si="273"/>
        <v>852.88</v>
      </c>
      <c r="BO118" s="110">
        <v>813.96</v>
      </c>
      <c r="BP118" s="129">
        <v>65.5</v>
      </c>
      <c r="BQ118" s="110">
        <f t="shared" si="274"/>
        <v>-31.080000000000041</v>
      </c>
      <c r="BR118" s="110">
        <f t="shared" si="275"/>
        <v>4.5</v>
      </c>
      <c r="BS118" s="110">
        <f t="shared" si="276"/>
        <v>74</v>
      </c>
      <c r="BT118" s="110">
        <f t="shared" si="277"/>
        <v>5.95</v>
      </c>
      <c r="BU118" s="110">
        <f t="shared" ref="BU118:BU120" si="472">ROUND(BS118-BQ118,2)</f>
        <v>105.08</v>
      </c>
      <c r="BV118" s="110">
        <v>0</v>
      </c>
      <c r="CA118" s="110">
        <f t="shared" si="278"/>
        <v>887.96</v>
      </c>
      <c r="CB118" s="110">
        <f t="shared" si="279"/>
        <v>70</v>
      </c>
    </row>
    <row r="119" spans="1:80" ht="18" x14ac:dyDescent="0.3">
      <c r="A119" s="18">
        <v>22</v>
      </c>
      <c r="B119" s="18" t="s">
        <v>185</v>
      </c>
      <c r="C119" s="19" t="s">
        <v>13</v>
      </c>
      <c r="D119" s="7" t="s">
        <v>186</v>
      </c>
      <c r="E119" s="21" t="s">
        <v>187</v>
      </c>
      <c r="F119" s="82">
        <v>614.54000000000008</v>
      </c>
      <c r="G119" s="82">
        <v>104.55000000000001</v>
      </c>
      <c r="H119" s="82">
        <v>614.54000000000008</v>
      </c>
      <c r="I119" s="22">
        <v>104.55000000000001</v>
      </c>
      <c r="J119" s="89">
        <v>625</v>
      </c>
      <c r="K119" s="89">
        <v>0</v>
      </c>
      <c r="L119" s="89">
        <v>0</v>
      </c>
      <c r="M119" s="89">
        <f>+J119+K119+L119</f>
        <v>625</v>
      </c>
      <c r="N119" s="89">
        <v>0</v>
      </c>
      <c r="O119" s="89">
        <v>0</v>
      </c>
      <c r="P119" s="89">
        <v>0</v>
      </c>
      <c r="Q119" s="89">
        <f>+N119+O119+P119</f>
        <v>0</v>
      </c>
      <c r="R119" s="89">
        <f>+Q119+M119</f>
        <v>625</v>
      </c>
      <c r="S119" s="89">
        <v>15</v>
      </c>
      <c r="V119" s="22">
        <f t="shared" si="468"/>
        <v>650.37</v>
      </c>
      <c r="W119" s="22">
        <f t="shared" si="469"/>
        <v>107.97</v>
      </c>
      <c r="X119" s="22">
        <f t="shared" si="252"/>
        <v>-25.370000000000005</v>
      </c>
      <c r="Y119" s="22">
        <f t="shared" si="253"/>
        <v>-92.97</v>
      </c>
      <c r="Z119" s="22">
        <v>625</v>
      </c>
      <c r="AA119" s="22"/>
      <c r="AB119" s="22">
        <f t="shared" si="254"/>
        <v>625</v>
      </c>
      <c r="AC119" s="111">
        <f t="shared" si="255"/>
        <v>0</v>
      </c>
      <c r="AD119" s="22">
        <f t="shared" si="470"/>
        <v>625</v>
      </c>
      <c r="AE119" s="22">
        <f>IF(Y119&gt;0,W119,S119)+10</f>
        <v>25</v>
      </c>
      <c r="AF119" s="22">
        <f t="shared" si="256"/>
        <v>13.53</v>
      </c>
      <c r="AG119" s="110">
        <f t="shared" si="257"/>
        <v>156</v>
      </c>
      <c r="AH119" s="110">
        <f>ROUND(AE119/4,0)-2</f>
        <v>4</v>
      </c>
      <c r="AI119" s="129">
        <f t="shared" si="259"/>
        <v>52</v>
      </c>
      <c r="AJ119" s="110">
        <f>ROUND(AE119/12,0)-1</f>
        <v>1</v>
      </c>
      <c r="AL119" s="146">
        <v>10</v>
      </c>
      <c r="AM119" s="110">
        <f t="shared" si="261"/>
        <v>156.25</v>
      </c>
      <c r="AN119" s="110">
        <f>ROUND(AE119*24.35%,2)-3.65-2.44</f>
        <v>0</v>
      </c>
      <c r="AO119" s="118"/>
      <c r="AP119" s="118"/>
      <c r="AQ119" s="118">
        <f t="shared" si="263"/>
        <v>312.25</v>
      </c>
      <c r="AR119" s="141">
        <f t="shared" si="264"/>
        <v>14</v>
      </c>
      <c r="AS119" s="141">
        <v>24.5</v>
      </c>
      <c r="AT119" s="141">
        <v>10</v>
      </c>
      <c r="AU119" s="141">
        <f t="shared" si="401"/>
        <v>156.25</v>
      </c>
      <c r="AV119" s="141">
        <v>0</v>
      </c>
      <c r="AW119" s="145">
        <v>33.33</v>
      </c>
      <c r="AX119" s="145">
        <v>20</v>
      </c>
      <c r="AY119" s="110">
        <f t="shared" si="245"/>
        <v>578.33000000000004</v>
      </c>
      <c r="AZ119" s="110">
        <f t="shared" si="246"/>
        <v>45</v>
      </c>
      <c r="BA119" s="110">
        <f t="shared" si="247"/>
        <v>623.33000000000004</v>
      </c>
      <c r="BB119" s="142">
        <v>564.29999999999995</v>
      </c>
      <c r="BC119" s="142">
        <v>23.96</v>
      </c>
      <c r="BD119" s="142">
        <f t="shared" si="248"/>
        <v>14.030000000000086</v>
      </c>
      <c r="BE119" s="142">
        <f t="shared" si="249"/>
        <v>21.04</v>
      </c>
      <c r="BF119" s="142">
        <f t="shared" si="250"/>
        <v>112.86</v>
      </c>
      <c r="BG119" s="142">
        <f t="shared" si="251"/>
        <v>4.79</v>
      </c>
      <c r="BH119" s="110">
        <v>45.84</v>
      </c>
      <c r="BI119" s="110">
        <v>0</v>
      </c>
      <c r="BL119" s="110">
        <f t="shared" si="271"/>
        <v>624.17000000000007</v>
      </c>
      <c r="BM119" s="110">
        <f t="shared" si="272"/>
        <v>45</v>
      </c>
      <c r="BN119" s="110">
        <f t="shared" si="273"/>
        <v>669.17000000000007</v>
      </c>
      <c r="BO119" s="110">
        <v>623.27</v>
      </c>
      <c r="BP119" s="129">
        <v>24.19</v>
      </c>
      <c r="BQ119" s="110">
        <f t="shared" si="274"/>
        <v>0.90000000000009095</v>
      </c>
      <c r="BR119" s="110">
        <f t="shared" si="275"/>
        <v>20.81</v>
      </c>
      <c r="BS119" s="110">
        <f t="shared" si="276"/>
        <v>56.66</v>
      </c>
      <c r="BT119" s="110">
        <f t="shared" si="277"/>
        <v>2.2000000000000002</v>
      </c>
      <c r="BU119" s="110">
        <f t="shared" si="472"/>
        <v>55.76</v>
      </c>
      <c r="BV119" s="110">
        <v>0</v>
      </c>
      <c r="BX119" s="110">
        <v>0.6</v>
      </c>
      <c r="CA119" s="110">
        <f t="shared" si="278"/>
        <v>679.93000000000006</v>
      </c>
      <c r="CB119" s="110">
        <f t="shared" si="279"/>
        <v>45.6</v>
      </c>
    </row>
    <row r="120" spans="1:80" ht="18" x14ac:dyDescent="0.3">
      <c r="A120" s="13">
        <v>23</v>
      </c>
      <c r="B120" s="13"/>
      <c r="C120" s="14"/>
      <c r="D120" s="15" t="s">
        <v>188</v>
      </c>
      <c r="E120" s="16"/>
      <c r="F120" s="82">
        <v>529.59</v>
      </c>
      <c r="G120" s="82">
        <v>91.56</v>
      </c>
      <c r="H120" s="82">
        <v>519.95000000000005</v>
      </c>
      <c r="I120" s="17">
        <v>83.26</v>
      </c>
      <c r="J120" s="87">
        <v>650</v>
      </c>
      <c r="K120" s="88">
        <v>0</v>
      </c>
      <c r="L120" s="88">
        <v>0</v>
      </c>
      <c r="M120" s="88">
        <f t="shared" ref="M120:M124" si="473">J120+K120+L120</f>
        <v>650</v>
      </c>
      <c r="N120" s="88">
        <v>0</v>
      </c>
      <c r="O120" s="88">
        <v>0</v>
      </c>
      <c r="P120" s="88">
        <v>0</v>
      </c>
      <c r="Q120" s="88">
        <f t="shared" ref="Q120:Q124" si="474">N120+O120+P120</f>
        <v>0</v>
      </c>
      <c r="R120" s="88">
        <f t="shared" ref="R120:R124" si="475">Q120+M120</f>
        <v>650</v>
      </c>
      <c r="S120" s="88">
        <v>90</v>
      </c>
      <c r="V120" s="17">
        <f t="shared" si="468"/>
        <v>550.26</v>
      </c>
      <c r="W120" s="17">
        <f t="shared" si="469"/>
        <v>85.98</v>
      </c>
      <c r="X120" s="110">
        <f t="shared" si="252"/>
        <v>99.740000000000009</v>
      </c>
      <c r="Y120" s="110">
        <f t="shared" si="253"/>
        <v>4.019999999999996</v>
      </c>
      <c r="Z120" s="110">
        <v>550.26</v>
      </c>
      <c r="AA120" s="110"/>
      <c r="AB120" s="110">
        <f t="shared" si="254"/>
        <v>550.26</v>
      </c>
      <c r="AC120" s="111">
        <f t="shared" si="255"/>
        <v>0</v>
      </c>
      <c r="AD120" s="110">
        <f t="shared" si="470"/>
        <v>550.26</v>
      </c>
      <c r="AE120" s="110">
        <f t="shared" si="471"/>
        <v>85.98</v>
      </c>
      <c r="AF120" s="110">
        <f t="shared" si="256"/>
        <v>81.2</v>
      </c>
      <c r="AG120" s="110">
        <f t="shared" si="257"/>
        <v>138</v>
      </c>
      <c r="AH120" s="110">
        <f t="shared" si="258"/>
        <v>21</v>
      </c>
      <c r="AI120" s="129">
        <f t="shared" si="259"/>
        <v>46</v>
      </c>
      <c r="AJ120" s="110">
        <f t="shared" si="260"/>
        <v>7</v>
      </c>
      <c r="AM120" s="110">
        <f t="shared" si="261"/>
        <v>137.57</v>
      </c>
      <c r="AN120" s="110">
        <f t="shared" si="262"/>
        <v>20.94</v>
      </c>
      <c r="AO120" s="118"/>
      <c r="AP120" s="118"/>
      <c r="AQ120" s="118">
        <f t="shared" si="263"/>
        <v>275.57</v>
      </c>
      <c r="AR120" s="141">
        <f t="shared" si="264"/>
        <v>41.94</v>
      </c>
      <c r="AS120" s="141"/>
      <c r="AT120" s="141"/>
      <c r="AU120" s="141">
        <f t="shared" si="401"/>
        <v>137.57</v>
      </c>
      <c r="AV120" s="141">
        <f>ROUND(AE120*25%,2)</f>
        <v>21.5</v>
      </c>
      <c r="AW120" s="141"/>
      <c r="AX120" s="145">
        <f>14.56+35</f>
        <v>49.56</v>
      </c>
      <c r="AY120" s="110">
        <f t="shared" si="245"/>
        <v>459.14</v>
      </c>
      <c r="AZ120" s="110">
        <f t="shared" si="246"/>
        <v>120</v>
      </c>
      <c r="BA120" s="110">
        <f t="shared" si="247"/>
        <v>579.14</v>
      </c>
      <c r="BB120" s="142">
        <v>427.87</v>
      </c>
      <c r="BC120" s="142">
        <v>117.14</v>
      </c>
      <c r="BD120" s="142">
        <f t="shared" si="248"/>
        <v>31.269999999999982</v>
      </c>
      <c r="BE120" s="142">
        <f t="shared" si="249"/>
        <v>2.8599999999999994</v>
      </c>
      <c r="BF120" s="142">
        <f t="shared" si="250"/>
        <v>85.57</v>
      </c>
      <c r="BG120" s="142">
        <f t="shared" si="251"/>
        <v>23.43</v>
      </c>
      <c r="BH120" s="110">
        <v>27.15</v>
      </c>
      <c r="BI120" s="110">
        <v>0</v>
      </c>
      <c r="BL120" s="110">
        <f t="shared" si="271"/>
        <v>486.28999999999996</v>
      </c>
      <c r="BM120" s="110">
        <f t="shared" si="272"/>
        <v>120</v>
      </c>
      <c r="BN120" s="110">
        <f t="shared" si="273"/>
        <v>606.29</v>
      </c>
      <c r="BO120" s="110">
        <v>469.85</v>
      </c>
      <c r="BP120" s="129">
        <v>117.14</v>
      </c>
      <c r="BQ120" s="110">
        <f t="shared" si="274"/>
        <v>16.439999999999941</v>
      </c>
      <c r="BR120" s="110">
        <f t="shared" si="275"/>
        <v>2.8599999999999994</v>
      </c>
      <c r="BS120" s="110">
        <f t="shared" si="276"/>
        <v>42.71</v>
      </c>
      <c r="BT120" s="110">
        <f t="shared" si="277"/>
        <v>10.65</v>
      </c>
      <c r="BU120" s="110">
        <f t="shared" si="472"/>
        <v>26.27</v>
      </c>
      <c r="BV120" s="110">
        <v>0</v>
      </c>
      <c r="CA120" s="110">
        <f t="shared" si="278"/>
        <v>512.55999999999995</v>
      </c>
      <c r="CB120" s="110">
        <f t="shared" si="279"/>
        <v>120</v>
      </c>
    </row>
    <row r="121" spans="1:80" ht="18" x14ac:dyDescent="0.3">
      <c r="A121" s="13">
        <v>24</v>
      </c>
      <c r="B121" s="13"/>
      <c r="C121" s="14"/>
      <c r="D121" s="15" t="s">
        <v>189</v>
      </c>
      <c r="E121" s="16"/>
      <c r="F121" s="82">
        <v>762.1600000000002</v>
      </c>
      <c r="G121" s="82">
        <v>0</v>
      </c>
      <c r="H121" s="82">
        <v>850.00000000000023</v>
      </c>
      <c r="I121" s="17">
        <v>0</v>
      </c>
      <c r="J121" s="87">
        <v>950</v>
      </c>
      <c r="K121" s="88">
        <v>0</v>
      </c>
      <c r="L121" s="88">
        <v>0</v>
      </c>
      <c r="M121" s="88">
        <f t="shared" si="473"/>
        <v>950</v>
      </c>
      <c r="N121" s="88">
        <v>0</v>
      </c>
      <c r="O121" s="88">
        <v>0</v>
      </c>
      <c r="P121" s="88">
        <v>0</v>
      </c>
      <c r="Q121" s="88">
        <f t="shared" si="474"/>
        <v>0</v>
      </c>
      <c r="R121" s="88">
        <f t="shared" si="475"/>
        <v>950</v>
      </c>
      <c r="S121" s="88">
        <v>0</v>
      </c>
      <c r="V121" s="17">
        <f t="shared" ref="V121" si="476">ROUND(H121*1.0583,2)</f>
        <v>899.56</v>
      </c>
      <c r="W121" s="17">
        <f t="shared" ref="W121" si="477">ROUND(I121*1.0327,2)</f>
        <v>0</v>
      </c>
      <c r="X121" s="110">
        <f t="shared" si="252"/>
        <v>50.440000000000055</v>
      </c>
      <c r="Y121" s="110">
        <f t="shared" si="253"/>
        <v>0</v>
      </c>
      <c r="Z121" s="110">
        <v>899.56</v>
      </c>
      <c r="AA121" s="110"/>
      <c r="AB121" s="110">
        <f t="shared" si="254"/>
        <v>899.56</v>
      </c>
      <c r="AC121" s="111">
        <f t="shared" si="255"/>
        <v>0</v>
      </c>
      <c r="AD121" s="110">
        <f t="shared" si="470"/>
        <v>899.56</v>
      </c>
      <c r="AE121" s="110">
        <f t="shared" si="471"/>
        <v>0</v>
      </c>
      <c r="AF121" s="110">
        <f t="shared" si="256"/>
        <v>0</v>
      </c>
      <c r="AG121" s="110">
        <f t="shared" si="257"/>
        <v>225</v>
      </c>
      <c r="AH121" s="110">
        <f t="shared" si="258"/>
        <v>0</v>
      </c>
      <c r="AI121" s="129">
        <f t="shared" si="259"/>
        <v>75</v>
      </c>
      <c r="AJ121" s="110">
        <f t="shared" si="260"/>
        <v>0</v>
      </c>
      <c r="AM121" s="110">
        <f t="shared" si="261"/>
        <v>224.89</v>
      </c>
      <c r="AN121" s="110">
        <f t="shared" si="262"/>
        <v>0</v>
      </c>
      <c r="AO121" s="118"/>
      <c r="AP121" s="118"/>
      <c r="AQ121" s="118">
        <f t="shared" si="263"/>
        <v>449.89</v>
      </c>
      <c r="AR121" s="141">
        <f t="shared" si="264"/>
        <v>0</v>
      </c>
      <c r="AS121" s="141"/>
      <c r="AT121" s="141"/>
      <c r="AU121" s="141">
        <v>126.11</v>
      </c>
      <c r="AV121" s="141">
        <f t="shared" ref="AV121:AV124" si="478">ROUND(AE121*25%,2)</f>
        <v>0</v>
      </c>
      <c r="AW121" s="141"/>
      <c r="AX121" s="141"/>
      <c r="AY121" s="110">
        <f t="shared" si="245"/>
        <v>651</v>
      </c>
      <c r="AZ121" s="110">
        <f t="shared" si="246"/>
        <v>0</v>
      </c>
      <c r="BA121" s="110">
        <f t="shared" si="247"/>
        <v>651</v>
      </c>
      <c r="BB121" s="142">
        <v>635</v>
      </c>
      <c r="BD121" s="142">
        <f t="shared" si="248"/>
        <v>16</v>
      </c>
      <c r="BE121" s="142">
        <f t="shared" si="249"/>
        <v>0</v>
      </c>
      <c r="BF121" s="142">
        <f t="shared" si="250"/>
        <v>127</v>
      </c>
      <c r="BG121" s="142">
        <f t="shared" si="251"/>
        <v>0</v>
      </c>
      <c r="BH121" s="110">
        <v>0</v>
      </c>
      <c r="BI121" s="110">
        <v>0</v>
      </c>
      <c r="BL121" s="110">
        <f t="shared" si="271"/>
        <v>651</v>
      </c>
      <c r="BM121" s="110">
        <f t="shared" si="272"/>
        <v>0</v>
      </c>
      <c r="BN121" s="110">
        <f t="shared" si="273"/>
        <v>651</v>
      </c>
      <c r="BO121" s="110">
        <v>635</v>
      </c>
      <c r="BP121" s="129"/>
      <c r="BQ121" s="110">
        <f t="shared" si="274"/>
        <v>16</v>
      </c>
      <c r="BR121" s="110">
        <f t="shared" si="275"/>
        <v>0</v>
      </c>
      <c r="BS121" s="110">
        <f t="shared" si="276"/>
        <v>57.73</v>
      </c>
      <c r="BT121" s="110">
        <f t="shared" si="277"/>
        <v>0</v>
      </c>
      <c r="BU121" s="110">
        <f>ROUND(BS121-BQ121,2)</f>
        <v>41.73</v>
      </c>
      <c r="BV121" s="110">
        <f>ROUND(BT121-BR121,2)</f>
        <v>0</v>
      </c>
      <c r="BW121" s="111">
        <v>157.27000000000001</v>
      </c>
      <c r="CA121" s="110">
        <f t="shared" si="278"/>
        <v>850</v>
      </c>
      <c r="CB121" s="110">
        <f t="shared" si="279"/>
        <v>0</v>
      </c>
    </row>
    <row r="122" spans="1:80" ht="18" x14ac:dyDescent="0.3">
      <c r="A122" s="18"/>
      <c r="B122" s="18" t="s">
        <v>190</v>
      </c>
      <c r="C122" s="19" t="s">
        <v>77</v>
      </c>
      <c r="D122" s="20" t="s">
        <v>188</v>
      </c>
      <c r="E122" s="21" t="s">
        <v>191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9">
        <f t="shared" ref="J122:AA122" si="479">+J120+J121</f>
        <v>1600</v>
      </c>
      <c r="K122" s="89">
        <f t="shared" si="479"/>
        <v>0</v>
      </c>
      <c r="L122" s="89">
        <f t="shared" si="479"/>
        <v>0</v>
      </c>
      <c r="M122" s="89">
        <f t="shared" si="479"/>
        <v>1600</v>
      </c>
      <c r="N122" s="89">
        <f t="shared" si="479"/>
        <v>0</v>
      </c>
      <c r="O122" s="89">
        <f t="shared" si="479"/>
        <v>0</v>
      </c>
      <c r="P122" s="89">
        <f t="shared" si="479"/>
        <v>0</v>
      </c>
      <c r="Q122" s="89">
        <f t="shared" si="479"/>
        <v>0</v>
      </c>
      <c r="R122" s="89">
        <f t="shared" si="479"/>
        <v>1600</v>
      </c>
      <c r="S122" s="89">
        <f t="shared" si="479"/>
        <v>90</v>
      </c>
      <c r="T122" s="89">
        <f t="shared" si="479"/>
        <v>0</v>
      </c>
      <c r="U122" s="89">
        <f t="shared" si="479"/>
        <v>0</v>
      </c>
      <c r="V122" s="89">
        <f t="shared" si="479"/>
        <v>1449.82</v>
      </c>
      <c r="W122" s="89">
        <f t="shared" si="479"/>
        <v>85.98</v>
      </c>
      <c r="X122" s="89">
        <f t="shared" si="479"/>
        <v>150.18000000000006</v>
      </c>
      <c r="Y122" s="89">
        <f t="shared" si="479"/>
        <v>4.019999999999996</v>
      </c>
      <c r="Z122" s="89">
        <f t="shared" si="479"/>
        <v>1449.82</v>
      </c>
      <c r="AA122" s="89">
        <f t="shared" si="479"/>
        <v>0</v>
      </c>
      <c r="AB122" s="22">
        <f t="shared" si="254"/>
        <v>1449.82</v>
      </c>
      <c r="AC122" s="111">
        <f t="shared" si="255"/>
        <v>0</v>
      </c>
      <c r="AD122" s="22">
        <f t="shared" ref="AD122:CB122" si="480">+AD120+AD121</f>
        <v>1449.82</v>
      </c>
      <c r="AE122" s="22">
        <f t="shared" si="480"/>
        <v>85.98</v>
      </c>
      <c r="AF122" s="22">
        <f t="shared" si="480"/>
        <v>81.2</v>
      </c>
      <c r="AG122" s="22">
        <f t="shared" si="480"/>
        <v>363</v>
      </c>
      <c r="AH122" s="22">
        <f t="shared" si="480"/>
        <v>21</v>
      </c>
      <c r="AI122" s="120">
        <f t="shared" si="480"/>
        <v>121</v>
      </c>
      <c r="AJ122" s="22">
        <f t="shared" si="480"/>
        <v>7</v>
      </c>
      <c r="AK122" s="22">
        <f t="shared" si="480"/>
        <v>0</v>
      </c>
      <c r="AL122" s="22">
        <f t="shared" si="480"/>
        <v>0</v>
      </c>
      <c r="AM122" s="22">
        <f t="shared" si="480"/>
        <v>362.46</v>
      </c>
      <c r="AN122" s="22">
        <f t="shared" si="480"/>
        <v>20.94</v>
      </c>
      <c r="AO122" s="22">
        <f t="shared" si="480"/>
        <v>0</v>
      </c>
      <c r="AP122" s="22">
        <f t="shared" si="480"/>
        <v>0</v>
      </c>
      <c r="AQ122" s="22">
        <f t="shared" si="480"/>
        <v>725.46</v>
      </c>
      <c r="AR122" s="22">
        <f t="shared" si="480"/>
        <v>41.94</v>
      </c>
      <c r="AS122" s="22">
        <f t="shared" si="480"/>
        <v>0</v>
      </c>
      <c r="AT122" s="22">
        <f t="shared" si="480"/>
        <v>0</v>
      </c>
      <c r="AU122" s="22">
        <f t="shared" si="480"/>
        <v>263.68</v>
      </c>
      <c r="AV122" s="22">
        <f t="shared" si="480"/>
        <v>21.5</v>
      </c>
      <c r="AW122" s="22">
        <f t="shared" si="480"/>
        <v>0</v>
      </c>
      <c r="AX122" s="22">
        <f t="shared" si="480"/>
        <v>49.56</v>
      </c>
      <c r="AY122" s="22">
        <f t="shared" si="480"/>
        <v>1110.1399999999999</v>
      </c>
      <c r="AZ122" s="22">
        <f t="shared" si="480"/>
        <v>120</v>
      </c>
      <c r="BA122" s="22">
        <f t="shared" si="480"/>
        <v>1230.1399999999999</v>
      </c>
      <c r="BB122" s="22">
        <f t="shared" si="480"/>
        <v>1062.8699999999999</v>
      </c>
      <c r="BC122" s="22">
        <f t="shared" si="480"/>
        <v>117.14</v>
      </c>
      <c r="BD122" s="22">
        <f t="shared" si="480"/>
        <v>47.269999999999982</v>
      </c>
      <c r="BE122" s="22">
        <f t="shared" si="480"/>
        <v>2.8599999999999994</v>
      </c>
      <c r="BF122" s="22">
        <f t="shared" si="480"/>
        <v>212.57</v>
      </c>
      <c r="BG122" s="120">
        <f t="shared" si="480"/>
        <v>23.43</v>
      </c>
      <c r="BH122" s="120">
        <f t="shared" si="480"/>
        <v>27.15</v>
      </c>
      <c r="BI122" s="120">
        <f t="shared" si="480"/>
        <v>0</v>
      </c>
      <c r="BJ122" s="120">
        <f t="shared" si="480"/>
        <v>0</v>
      </c>
      <c r="BK122" s="120">
        <f t="shared" si="480"/>
        <v>0</v>
      </c>
      <c r="BL122" s="120">
        <f t="shared" si="480"/>
        <v>1137.29</v>
      </c>
      <c r="BM122" s="120">
        <f t="shared" si="480"/>
        <v>120</v>
      </c>
      <c r="BN122" s="120">
        <f t="shared" si="480"/>
        <v>1257.29</v>
      </c>
      <c r="BO122" s="120">
        <f t="shared" si="480"/>
        <v>1104.8499999999999</v>
      </c>
      <c r="BP122" s="120">
        <f t="shared" si="480"/>
        <v>117.14</v>
      </c>
      <c r="BQ122" s="22">
        <f t="shared" si="480"/>
        <v>32.439999999999941</v>
      </c>
      <c r="BR122" s="22">
        <f t="shared" si="480"/>
        <v>2.8599999999999994</v>
      </c>
      <c r="BS122" s="22">
        <f t="shared" si="480"/>
        <v>100.44</v>
      </c>
      <c r="BT122" s="22">
        <f t="shared" si="480"/>
        <v>10.65</v>
      </c>
      <c r="BU122" s="22">
        <f t="shared" si="480"/>
        <v>68</v>
      </c>
      <c r="BV122" s="22">
        <f t="shared" si="480"/>
        <v>0</v>
      </c>
      <c r="BW122" s="22">
        <f t="shared" si="480"/>
        <v>157.27000000000001</v>
      </c>
      <c r="BX122" s="22">
        <f t="shared" si="480"/>
        <v>0</v>
      </c>
      <c r="BY122" s="22">
        <f t="shared" si="480"/>
        <v>0</v>
      </c>
      <c r="BZ122" s="22">
        <f t="shared" si="480"/>
        <v>0</v>
      </c>
      <c r="CA122" s="22">
        <f t="shared" si="480"/>
        <v>1362.56</v>
      </c>
      <c r="CB122" s="22">
        <f t="shared" si="480"/>
        <v>120</v>
      </c>
    </row>
    <row r="123" spans="1:80" ht="18" x14ac:dyDescent="0.3">
      <c r="A123" s="13">
        <v>25</v>
      </c>
      <c r="B123" s="13"/>
      <c r="C123" s="14"/>
      <c r="D123" s="15" t="s">
        <v>192</v>
      </c>
      <c r="E123" s="16"/>
      <c r="F123" s="82">
        <v>490.99999999999994</v>
      </c>
      <c r="G123" s="82">
        <v>8.3099999999999987</v>
      </c>
      <c r="H123" s="82">
        <v>490.99999999999994</v>
      </c>
      <c r="I123" s="17">
        <v>3.5399999999999991</v>
      </c>
      <c r="J123" s="87">
        <v>565</v>
      </c>
      <c r="K123" s="88">
        <v>0</v>
      </c>
      <c r="L123" s="88">
        <v>0</v>
      </c>
      <c r="M123" s="88">
        <f t="shared" si="473"/>
        <v>565</v>
      </c>
      <c r="N123" s="88">
        <v>0</v>
      </c>
      <c r="O123" s="88">
        <v>0</v>
      </c>
      <c r="P123" s="88">
        <v>0</v>
      </c>
      <c r="Q123" s="88">
        <f t="shared" si="474"/>
        <v>0</v>
      </c>
      <c r="R123" s="88">
        <f t="shared" si="475"/>
        <v>565</v>
      </c>
      <c r="S123" s="88">
        <v>40</v>
      </c>
      <c r="V123" s="17">
        <f t="shared" ref="V123" si="481">ROUND(H123*1.0583,2)</f>
        <v>519.63</v>
      </c>
      <c r="W123" s="17">
        <f t="shared" ref="W123" si="482">ROUND(I123*1.0327,2)</f>
        <v>3.66</v>
      </c>
      <c r="X123" s="110">
        <f t="shared" si="252"/>
        <v>45.370000000000005</v>
      </c>
      <c r="Y123" s="110">
        <f t="shared" si="253"/>
        <v>36.340000000000003</v>
      </c>
      <c r="Z123" s="110">
        <v>519.63</v>
      </c>
      <c r="AA123" s="110"/>
      <c r="AB123" s="110">
        <f t="shared" si="254"/>
        <v>519.63</v>
      </c>
      <c r="AC123" s="111">
        <f t="shared" si="255"/>
        <v>0</v>
      </c>
      <c r="AD123" s="110">
        <f t="shared" ref="AD123:AD124" si="483">IF(X123&gt;0,V123,R123)</f>
        <v>519.63</v>
      </c>
      <c r="AE123" s="110">
        <f t="shared" ref="AE123:AE124" si="484">IF(Y123&gt;0,W123,S123)</f>
        <v>3.66</v>
      </c>
      <c r="AF123" s="110">
        <f t="shared" si="256"/>
        <v>36.090000000000003</v>
      </c>
      <c r="AG123" s="110">
        <f t="shared" si="257"/>
        <v>130</v>
      </c>
      <c r="AH123" s="110">
        <f t="shared" si="258"/>
        <v>1</v>
      </c>
      <c r="AI123" s="129">
        <f t="shared" si="259"/>
        <v>43</v>
      </c>
      <c r="AJ123" s="110">
        <f t="shared" si="260"/>
        <v>0</v>
      </c>
      <c r="AM123" s="110">
        <f t="shared" si="261"/>
        <v>129.91</v>
      </c>
      <c r="AN123" s="110">
        <f t="shared" si="262"/>
        <v>0.89</v>
      </c>
      <c r="AQ123" s="110">
        <f t="shared" si="263"/>
        <v>259.90999999999997</v>
      </c>
      <c r="AR123" s="154">
        <f t="shared" si="264"/>
        <v>1.8900000000000001</v>
      </c>
      <c r="AS123" s="154"/>
      <c r="AT123" s="154"/>
      <c r="AU123" s="154">
        <f t="shared" si="401"/>
        <v>129.91</v>
      </c>
      <c r="AV123" s="154">
        <f t="shared" si="478"/>
        <v>0.92</v>
      </c>
      <c r="AW123" s="154"/>
      <c r="AX123" s="154"/>
      <c r="AY123" s="110">
        <f t="shared" si="245"/>
        <v>432.81999999999994</v>
      </c>
      <c r="AZ123" s="110">
        <f t="shared" si="246"/>
        <v>2.81</v>
      </c>
      <c r="BA123" s="110">
        <f t="shared" si="247"/>
        <v>435.62999999999994</v>
      </c>
      <c r="BB123" s="142">
        <v>420.47</v>
      </c>
      <c r="BC123" s="142">
        <v>2.2200000000000002</v>
      </c>
      <c r="BD123" s="142">
        <f t="shared" si="248"/>
        <v>12.349999999999909</v>
      </c>
      <c r="BE123" s="142">
        <f t="shared" si="249"/>
        <v>0.58999999999999986</v>
      </c>
      <c r="BF123" s="142">
        <f t="shared" si="250"/>
        <v>84.09</v>
      </c>
      <c r="BG123" s="142">
        <f t="shared" si="251"/>
        <v>0.44</v>
      </c>
      <c r="BH123" s="111">
        <v>35.869999999999997</v>
      </c>
      <c r="BI123" s="146">
        <v>15.6</v>
      </c>
      <c r="BJ123" s="146"/>
      <c r="BK123" s="146"/>
      <c r="BL123" s="110">
        <f t="shared" si="271"/>
        <v>468.68999999999994</v>
      </c>
      <c r="BM123" s="110">
        <f t="shared" si="272"/>
        <v>18.41</v>
      </c>
      <c r="BN123" s="110">
        <f t="shared" si="273"/>
        <v>487.09999999999997</v>
      </c>
      <c r="BO123" s="110">
        <v>464.55</v>
      </c>
      <c r="BP123" s="129">
        <v>4.08</v>
      </c>
      <c r="BQ123" s="110">
        <f t="shared" si="274"/>
        <v>4.1399999999999295</v>
      </c>
      <c r="BR123" s="110">
        <f t="shared" si="275"/>
        <v>14.33</v>
      </c>
      <c r="BS123" s="110">
        <f t="shared" si="276"/>
        <v>42.23</v>
      </c>
      <c r="BT123" s="110">
        <f t="shared" si="277"/>
        <v>0.37</v>
      </c>
      <c r="BU123" s="110">
        <v>38.090000000000003</v>
      </c>
      <c r="BV123" s="110">
        <v>0</v>
      </c>
      <c r="BW123" s="111">
        <v>4.22</v>
      </c>
      <c r="BX123" s="110">
        <v>19.989999999999998</v>
      </c>
      <c r="CA123" s="110">
        <f t="shared" si="278"/>
        <v>511</v>
      </c>
      <c r="CB123" s="110">
        <f t="shared" si="279"/>
        <v>38.4</v>
      </c>
    </row>
    <row r="124" spans="1:80" ht="18" x14ac:dyDescent="0.3">
      <c r="A124" s="13">
        <v>26</v>
      </c>
      <c r="B124" s="13"/>
      <c r="C124" s="14"/>
      <c r="D124" s="15" t="s">
        <v>193</v>
      </c>
      <c r="E124" s="16"/>
      <c r="F124" s="82">
        <v>228.61</v>
      </c>
      <c r="G124" s="82">
        <v>0</v>
      </c>
      <c r="H124" s="82">
        <v>267.56</v>
      </c>
      <c r="I124" s="17">
        <v>0</v>
      </c>
      <c r="J124" s="87">
        <v>300</v>
      </c>
      <c r="K124" s="88">
        <v>0</v>
      </c>
      <c r="L124" s="88">
        <v>0</v>
      </c>
      <c r="M124" s="88">
        <f t="shared" si="473"/>
        <v>300</v>
      </c>
      <c r="N124" s="88">
        <v>0</v>
      </c>
      <c r="O124" s="88">
        <v>0</v>
      </c>
      <c r="P124" s="88">
        <v>0</v>
      </c>
      <c r="Q124" s="88">
        <f t="shared" si="474"/>
        <v>0</v>
      </c>
      <c r="R124" s="88">
        <f t="shared" si="475"/>
        <v>300</v>
      </c>
      <c r="S124" s="88">
        <v>0</v>
      </c>
      <c r="V124" s="17">
        <f t="shared" ref="V124" si="485">ROUND(H124*1.0583,2)</f>
        <v>283.16000000000003</v>
      </c>
      <c r="W124" s="17">
        <f t="shared" ref="W124" si="486">ROUND(I124*1.0327,2)</f>
        <v>0</v>
      </c>
      <c r="X124" s="110">
        <f t="shared" si="252"/>
        <v>16.839999999999975</v>
      </c>
      <c r="Y124" s="110">
        <f t="shared" si="253"/>
        <v>0</v>
      </c>
      <c r="Z124" s="110">
        <v>283.16000000000003</v>
      </c>
      <c r="AA124" s="110"/>
      <c r="AB124" s="110">
        <f t="shared" si="254"/>
        <v>283.16000000000003</v>
      </c>
      <c r="AC124" s="111">
        <f t="shared" si="255"/>
        <v>0</v>
      </c>
      <c r="AD124" s="110">
        <f t="shared" si="483"/>
        <v>283.16000000000003</v>
      </c>
      <c r="AE124" s="110">
        <f t="shared" si="484"/>
        <v>0</v>
      </c>
      <c r="AF124" s="110">
        <f t="shared" si="256"/>
        <v>0</v>
      </c>
      <c r="AG124" s="110">
        <f t="shared" si="257"/>
        <v>71</v>
      </c>
      <c r="AH124" s="110">
        <f t="shared" si="258"/>
        <v>0</v>
      </c>
      <c r="AI124" s="129">
        <f t="shared" si="259"/>
        <v>24</v>
      </c>
      <c r="AJ124" s="110">
        <f t="shared" si="260"/>
        <v>0</v>
      </c>
      <c r="AM124" s="110">
        <f t="shared" si="261"/>
        <v>70.790000000000006</v>
      </c>
      <c r="AN124" s="110">
        <f t="shared" si="262"/>
        <v>0</v>
      </c>
      <c r="AQ124" s="110">
        <f t="shared" si="263"/>
        <v>141.79000000000002</v>
      </c>
      <c r="AR124" s="154">
        <f t="shared" si="264"/>
        <v>0</v>
      </c>
      <c r="AS124" s="154"/>
      <c r="AT124" s="154"/>
      <c r="AU124" s="154">
        <f t="shared" si="401"/>
        <v>70.790000000000006</v>
      </c>
      <c r="AV124" s="154">
        <f t="shared" si="478"/>
        <v>0</v>
      </c>
      <c r="AW124" s="154"/>
      <c r="AX124" s="154"/>
      <c r="AY124" s="110">
        <f t="shared" si="245"/>
        <v>236.58000000000004</v>
      </c>
      <c r="AZ124" s="110">
        <f t="shared" si="246"/>
        <v>0</v>
      </c>
      <c r="BA124" s="110">
        <f t="shared" si="247"/>
        <v>236.58000000000004</v>
      </c>
      <c r="BB124" s="142">
        <v>163.75</v>
      </c>
      <c r="BD124" s="142">
        <f t="shared" si="248"/>
        <v>72.830000000000041</v>
      </c>
      <c r="BE124" s="142">
        <f t="shared" si="249"/>
        <v>0</v>
      </c>
      <c r="BF124" s="142">
        <f t="shared" si="250"/>
        <v>32.75</v>
      </c>
      <c r="BG124" s="142">
        <f t="shared" si="251"/>
        <v>0</v>
      </c>
      <c r="BH124" s="111">
        <v>0</v>
      </c>
      <c r="BI124" s="110">
        <v>0</v>
      </c>
      <c r="BL124" s="110">
        <f t="shared" si="271"/>
        <v>236.58000000000004</v>
      </c>
      <c r="BM124" s="110">
        <f t="shared" si="272"/>
        <v>0</v>
      </c>
      <c r="BN124" s="110">
        <f t="shared" si="273"/>
        <v>236.58000000000004</v>
      </c>
      <c r="BO124" s="110">
        <v>163.75</v>
      </c>
      <c r="BP124" s="129"/>
      <c r="BQ124" s="110">
        <f t="shared" si="274"/>
        <v>72.830000000000041</v>
      </c>
      <c r="BR124" s="110">
        <f t="shared" si="275"/>
        <v>0</v>
      </c>
      <c r="BS124" s="110">
        <f t="shared" si="276"/>
        <v>14.89</v>
      </c>
      <c r="BT124" s="110">
        <f t="shared" si="277"/>
        <v>0</v>
      </c>
      <c r="BU124" s="110">
        <v>0</v>
      </c>
      <c r="BV124" s="110">
        <f t="shared" ref="BV124:BV128" si="487">ROUND(BT124-BR124,2)</f>
        <v>0</v>
      </c>
      <c r="CA124" s="110">
        <f t="shared" si="278"/>
        <v>236.58000000000004</v>
      </c>
      <c r="CB124" s="110">
        <f t="shared" si="279"/>
        <v>0</v>
      </c>
    </row>
    <row r="125" spans="1:80" ht="18" x14ac:dyDescent="0.3">
      <c r="A125" s="18"/>
      <c r="B125" s="18" t="s">
        <v>194</v>
      </c>
      <c r="C125" s="19" t="s">
        <v>158</v>
      </c>
      <c r="D125" s="20" t="s">
        <v>192</v>
      </c>
      <c r="E125" s="21" t="s">
        <v>195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9">
        <f t="shared" ref="J125:AA125" si="488">+J123+J124</f>
        <v>865</v>
      </c>
      <c r="K125" s="89">
        <f t="shared" si="488"/>
        <v>0</v>
      </c>
      <c r="L125" s="89">
        <f t="shared" si="488"/>
        <v>0</v>
      </c>
      <c r="M125" s="89">
        <f t="shared" si="488"/>
        <v>865</v>
      </c>
      <c r="N125" s="89">
        <f t="shared" si="488"/>
        <v>0</v>
      </c>
      <c r="O125" s="89">
        <f t="shared" si="488"/>
        <v>0</v>
      </c>
      <c r="P125" s="89">
        <f t="shared" si="488"/>
        <v>0</v>
      </c>
      <c r="Q125" s="89">
        <f t="shared" si="488"/>
        <v>0</v>
      </c>
      <c r="R125" s="89">
        <f t="shared" si="488"/>
        <v>865</v>
      </c>
      <c r="S125" s="89">
        <f t="shared" si="488"/>
        <v>40</v>
      </c>
      <c r="T125" s="89">
        <f t="shared" si="488"/>
        <v>0</v>
      </c>
      <c r="U125" s="89">
        <f t="shared" si="488"/>
        <v>0</v>
      </c>
      <c r="V125" s="89">
        <f t="shared" si="488"/>
        <v>802.79</v>
      </c>
      <c r="W125" s="89">
        <f t="shared" si="488"/>
        <v>3.66</v>
      </c>
      <c r="X125" s="89">
        <f t="shared" si="488"/>
        <v>62.20999999999998</v>
      </c>
      <c r="Y125" s="89">
        <f t="shared" si="488"/>
        <v>36.340000000000003</v>
      </c>
      <c r="Z125" s="89">
        <f t="shared" si="488"/>
        <v>802.79</v>
      </c>
      <c r="AA125" s="89">
        <f t="shared" si="488"/>
        <v>0</v>
      </c>
      <c r="AB125" s="22">
        <f t="shared" si="254"/>
        <v>802.79</v>
      </c>
      <c r="AC125" s="111">
        <f t="shared" si="255"/>
        <v>0</v>
      </c>
      <c r="AD125" s="22">
        <f t="shared" ref="AD125:CB125" si="489">+AD123+AD124</f>
        <v>802.79</v>
      </c>
      <c r="AE125" s="22">
        <f t="shared" si="489"/>
        <v>3.66</v>
      </c>
      <c r="AF125" s="22">
        <f t="shared" si="489"/>
        <v>36.090000000000003</v>
      </c>
      <c r="AG125" s="22">
        <f t="shared" si="489"/>
        <v>201</v>
      </c>
      <c r="AH125" s="22">
        <f t="shared" si="489"/>
        <v>1</v>
      </c>
      <c r="AI125" s="120">
        <f t="shared" si="489"/>
        <v>67</v>
      </c>
      <c r="AJ125" s="22">
        <f t="shared" si="489"/>
        <v>0</v>
      </c>
      <c r="AK125" s="22">
        <f t="shared" si="489"/>
        <v>0</v>
      </c>
      <c r="AL125" s="22">
        <f t="shared" si="489"/>
        <v>0</v>
      </c>
      <c r="AM125" s="22">
        <f t="shared" si="489"/>
        <v>200.7</v>
      </c>
      <c r="AN125" s="22">
        <f t="shared" si="489"/>
        <v>0.89</v>
      </c>
      <c r="AO125" s="22">
        <f t="shared" si="489"/>
        <v>0</v>
      </c>
      <c r="AP125" s="22">
        <f t="shared" si="489"/>
        <v>0</v>
      </c>
      <c r="AQ125" s="22">
        <f t="shared" si="489"/>
        <v>401.7</v>
      </c>
      <c r="AR125" s="22">
        <f t="shared" si="489"/>
        <v>1.8900000000000001</v>
      </c>
      <c r="AS125" s="22">
        <f t="shared" si="489"/>
        <v>0</v>
      </c>
      <c r="AT125" s="22">
        <f t="shared" si="489"/>
        <v>0</v>
      </c>
      <c r="AU125" s="22">
        <f t="shared" si="489"/>
        <v>200.7</v>
      </c>
      <c r="AV125" s="22">
        <f t="shared" si="489"/>
        <v>0.92</v>
      </c>
      <c r="AW125" s="22">
        <f t="shared" si="489"/>
        <v>0</v>
      </c>
      <c r="AX125" s="22">
        <f t="shared" si="489"/>
        <v>0</v>
      </c>
      <c r="AY125" s="22">
        <f t="shared" si="489"/>
        <v>669.4</v>
      </c>
      <c r="AZ125" s="22">
        <f t="shared" si="489"/>
        <v>2.81</v>
      </c>
      <c r="BA125" s="22">
        <f t="shared" si="489"/>
        <v>672.21</v>
      </c>
      <c r="BB125" s="22">
        <f t="shared" si="489"/>
        <v>584.22</v>
      </c>
      <c r="BC125" s="22">
        <f t="shared" si="489"/>
        <v>2.2200000000000002</v>
      </c>
      <c r="BD125" s="22">
        <f t="shared" si="489"/>
        <v>85.17999999999995</v>
      </c>
      <c r="BE125" s="22">
        <f t="shared" si="489"/>
        <v>0.58999999999999986</v>
      </c>
      <c r="BF125" s="22">
        <f t="shared" si="489"/>
        <v>116.84</v>
      </c>
      <c r="BG125" s="120">
        <f t="shared" si="489"/>
        <v>0.44</v>
      </c>
      <c r="BH125" s="120">
        <f t="shared" si="489"/>
        <v>35.869999999999997</v>
      </c>
      <c r="BI125" s="120">
        <f t="shared" si="489"/>
        <v>15.6</v>
      </c>
      <c r="BJ125" s="120">
        <f t="shared" si="489"/>
        <v>0</v>
      </c>
      <c r="BK125" s="120">
        <f t="shared" si="489"/>
        <v>0</v>
      </c>
      <c r="BL125" s="120">
        <f t="shared" si="489"/>
        <v>705.27</v>
      </c>
      <c r="BM125" s="120">
        <f t="shared" si="489"/>
        <v>18.41</v>
      </c>
      <c r="BN125" s="120">
        <f t="shared" si="489"/>
        <v>723.68000000000006</v>
      </c>
      <c r="BO125" s="120">
        <f t="shared" si="489"/>
        <v>628.29999999999995</v>
      </c>
      <c r="BP125" s="120">
        <f t="shared" si="489"/>
        <v>4.08</v>
      </c>
      <c r="BQ125" s="22">
        <f t="shared" si="489"/>
        <v>76.96999999999997</v>
      </c>
      <c r="BR125" s="22">
        <f t="shared" si="489"/>
        <v>14.33</v>
      </c>
      <c r="BS125" s="22">
        <f t="shared" si="489"/>
        <v>57.12</v>
      </c>
      <c r="BT125" s="22">
        <f t="shared" si="489"/>
        <v>0.37</v>
      </c>
      <c r="BU125" s="22">
        <f t="shared" si="489"/>
        <v>38.090000000000003</v>
      </c>
      <c r="BV125" s="22">
        <f t="shared" si="489"/>
        <v>0</v>
      </c>
      <c r="BW125" s="22">
        <f t="shared" si="489"/>
        <v>4.22</v>
      </c>
      <c r="BX125" s="22">
        <f t="shared" si="489"/>
        <v>19.989999999999998</v>
      </c>
      <c r="BY125" s="22">
        <f t="shared" si="489"/>
        <v>0</v>
      </c>
      <c r="BZ125" s="22">
        <f t="shared" si="489"/>
        <v>0</v>
      </c>
      <c r="CA125" s="22">
        <f t="shared" si="489"/>
        <v>747.58</v>
      </c>
      <c r="CB125" s="22">
        <f t="shared" si="489"/>
        <v>38.4</v>
      </c>
    </row>
    <row r="126" spans="1:80" ht="18" x14ac:dyDescent="0.3">
      <c r="A126" s="18">
        <v>27</v>
      </c>
      <c r="B126" s="18" t="s">
        <v>196</v>
      </c>
      <c r="C126" s="19" t="s">
        <v>28</v>
      </c>
      <c r="D126" s="20" t="s">
        <v>197</v>
      </c>
      <c r="E126" s="21" t="s">
        <v>198</v>
      </c>
      <c r="F126" s="82">
        <v>585.24</v>
      </c>
      <c r="G126" s="82">
        <v>128.16</v>
      </c>
      <c r="H126" s="82">
        <v>585.24</v>
      </c>
      <c r="I126" s="22">
        <v>128.16</v>
      </c>
      <c r="J126" s="89">
        <v>640</v>
      </c>
      <c r="K126" s="89">
        <v>0</v>
      </c>
      <c r="L126" s="89">
        <v>0</v>
      </c>
      <c r="M126" s="89">
        <f>J126+K126+L126</f>
        <v>640</v>
      </c>
      <c r="N126" s="89">
        <v>0</v>
      </c>
      <c r="O126" s="89">
        <v>0</v>
      </c>
      <c r="P126" s="89">
        <v>0</v>
      </c>
      <c r="Q126" s="89">
        <f>+N126+O126+P126</f>
        <v>0</v>
      </c>
      <c r="R126" s="89">
        <f>+Q126+M126</f>
        <v>640</v>
      </c>
      <c r="S126" s="89">
        <v>30</v>
      </c>
      <c r="V126" s="22">
        <f t="shared" ref="V126:V132" si="490">ROUND(H126*1.0583,2)</f>
        <v>619.36</v>
      </c>
      <c r="W126" s="22">
        <f t="shared" ref="W126:W132" si="491">ROUND(I126*1.0327,2)</f>
        <v>132.35</v>
      </c>
      <c r="X126" s="22">
        <f t="shared" si="252"/>
        <v>20.639999999999986</v>
      </c>
      <c r="Y126" s="22">
        <f t="shared" si="253"/>
        <v>-102.35</v>
      </c>
      <c r="Z126" s="22">
        <v>619.36</v>
      </c>
      <c r="AA126" s="22"/>
      <c r="AB126" s="22">
        <f t="shared" si="254"/>
        <v>619.36</v>
      </c>
      <c r="AC126" s="111">
        <f t="shared" si="255"/>
        <v>0</v>
      </c>
      <c r="AD126" s="22">
        <f t="shared" ref="AD126" si="492">IF(X126&gt;0,V126,R126)</f>
        <v>619.36</v>
      </c>
      <c r="AE126" s="22">
        <f t="shared" ref="AE126" si="493">IF(Y126&gt;0,W126,S126)</f>
        <v>30</v>
      </c>
      <c r="AF126" s="22">
        <f t="shared" si="256"/>
        <v>27.07</v>
      </c>
      <c r="AG126" s="110">
        <f t="shared" si="257"/>
        <v>155</v>
      </c>
      <c r="AH126" s="110">
        <f t="shared" si="258"/>
        <v>8</v>
      </c>
      <c r="AI126" s="129">
        <f t="shared" si="259"/>
        <v>52</v>
      </c>
      <c r="AJ126" s="110">
        <f t="shared" si="260"/>
        <v>3</v>
      </c>
      <c r="AM126" s="110">
        <f t="shared" si="261"/>
        <v>154.84</v>
      </c>
      <c r="AN126" s="110">
        <f t="shared" si="262"/>
        <v>7.31</v>
      </c>
      <c r="AQ126" s="110">
        <f t="shared" si="263"/>
        <v>309.84000000000003</v>
      </c>
      <c r="AR126" s="154">
        <f t="shared" si="264"/>
        <v>15.309999999999999</v>
      </c>
      <c r="AS126" s="154"/>
      <c r="AT126" s="154"/>
      <c r="AU126" s="154">
        <f t="shared" si="401"/>
        <v>154.84</v>
      </c>
      <c r="AV126" s="154">
        <v>28.69</v>
      </c>
      <c r="AW126" s="145">
        <v>22.4</v>
      </c>
      <c r="AX126" s="154"/>
      <c r="AY126" s="110">
        <f t="shared" si="245"/>
        <v>539.08000000000004</v>
      </c>
      <c r="AZ126" s="110">
        <f t="shared" si="246"/>
        <v>47</v>
      </c>
      <c r="BA126" s="110">
        <f t="shared" si="247"/>
        <v>586.08000000000004</v>
      </c>
      <c r="BB126" s="142">
        <v>539.54</v>
      </c>
      <c r="BC126" s="142">
        <v>45.59</v>
      </c>
      <c r="BD126" s="142">
        <f t="shared" si="248"/>
        <v>-0.45999999999992269</v>
      </c>
      <c r="BE126" s="142">
        <f t="shared" si="249"/>
        <v>1.4099999999999966</v>
      </c>
      <c r="BF126" s="142">
        <f t="shared" si="250"/>
        <v>107.91</v>
      </c>
      <c r="BG126" s="142">
        <f t="shared" si="251"/>
        <v>9.1199999999999992</v>
      </c>
      <c r="BH126" s="146">
        <v>54.46</v>
      </c>
      <c r="BI126" s="110">
        <v>1</v>
      </c>
      <c r="BL126" s="110">
        <f t="shared" si="271"/>
        <v>593.54000000000008</v>
      </c>
      <c r="BM126" s="110">
        <f t="shared" si="272"/>
        <v>48</v>
      </c>
      <c r="BN126" s="110">
        <f t="shared" si="273"/>
        <v>641.54000000000008</v>
      </c>
      <c r="BO126" s="110">
        <v>593.05999999999995</v>
      </c>
      <c r="BP126" s="129">
        <v>45.86</v>
      </c>
      <c r="BQ126" s="110">
        <f t="shared" si="274"/>
        <v>0.48000000000013188</v>
      </c>
      <c r="BR126" s="110">
        <f t="shared" si="275"/>
        <v>2.1400000000000006</v>
      </c>
      <c r="BS126" s="110">
        <f t="shared" si="276"/>
        <v>53.91</v>
      </c>
      <c r="BT126" s="110">
        <f t="shared" si="277"/>
        <v>4.17</v>
      </c>
      <c r="BU126" s="110">
        <v>53.43</v>
      </c>
      <c r="BV126" s="110">
        <v>0</v>
      </c>
      <c r="CA126" s="110">
        <f t="shared" si="278"/>
        <v>646.97</v>
      </c>
      <c r="CB126" s="110">
        <f t="shared" si="279"/>
        <v>48</v>
      </c>
    </row>
    <row r="127" spans="1:80" ht="36" x14ac:dyDescent="0.3">
      <c r="A127" s="18">
        <v>28</v>
      </c>
      <c r="B127" s="18" t="s">
        <v>199</v>
      </c>
      <c r="C127" s="19" t="s">
        <v>13</v>
      </c>
      <c r="D127" s="20" t="s">
        <v>200</v>
      </c>
      <c r="E127" s="21" t="s">
        <v>201</v>
      </c>
      <c r="F127" s="82">
        <v>650.38</v>
      </c>
      <c r="G127" s="82">
        <v>25.85</v>
      </c>
      <c r="H127" s="82">
        <v>650.38</v>
      </c>
      <c r="I127" s="22">
        <v>15.810000000000002</v>
      </c>
      <c r="J127" s="89">
        <v>700</v>
      </c>
      <c r="K127" s="89">
        <v>0</v>
      </c>
      <c r="L127" s="89">
        <v>0.1</v>
      </c>
      <c r="M127" s="89">
        <f t="shared" ref="M127:M133" si="494">J127+K127+L127</f>
        <v>700.1</v>
      </c>
      <c r="N127" s="89">
        <v>0</v>
      </c>
      <c r="O127" s="89">
        <v>0</v>
      </c>
      <c r="P127" s="89">
        <v>0</v>
      </c>
      <c r="Q127" s="89">
        <f t="shared" ref="Q127:Q133" si="495">+N127+O127+P127</f>
        <v>0</v>
      </c>
      <c r="R127" s="89">
        <f t="shared" ref="R127:R133" si="496">+Q127+M127</f>
        <v>700.1</v>
      </c>
      <c r="S127" s="89">
        <v>31</v>
      </c>
      <c r="V127" s="22">
        <f t="shared" si="490"/>
        <v>688.3</v>
      </c>
      <c r="W127" s="22">
        <f t="shared" si="491"/>
        <v>16.329999999999998</v>
      </c>
      <c r="X127" s="22">
        <f t="shared" si="252"/>
        <v>11.800000000000068</v>
      </c>
      <c r="Y127" s="22">
        <f t="shared" si="253"/>
        <v>14.670000000000002</v>
      </c>
      <c r="Z127" s="22">
        <v>688.3</v>
      </c>
      <c r="AA127" s="22"/>
      <c r="AB127" s="22">
        <f t="shared" si="254"/>
        <v>688.3</v>
      </c>
      <c r="AC127" s="111">
        <f t="shared" si="255"/>
        <v>0</v>
      </c>
      <c r="AD127" s="22">
        <f t="shared" ref="AD127:AD132" si="497">IF(X127&gt;0,V127,R127)</f>
        <v>688.3</v>
      </c>
      <c r="AE127" s="121">
        <f>IF(Y127&gt;0,W127,S127)+13.67</f>
        <v>30</v>
      </c>
      <c r="AF127" s="22">
        <f t="shared" si="256"/>
        <v>27.97</v>
      </c>
      <c r="AG127" s="110">
        <f t="shared" si="257"/>
        <v>172</v>
      </c>
      <c r="AH127" s="110">
        <f>ROUND(AE127/4,0)-4</f>
        <v>4</v>
      </c>
      <c r="AI127" s="129">
        <f t="shared" si="259"/>
        <v>57</v>
      </c>
      <c r="AJ127" s="110">
        <f>ROUND(AE127/12,0)-2</f>
        <v>1</v>
      </c>
      <c r="AL127" s="146">
        <v>26</v>
      </c>
      <c r="AM127" s="110">
        <f t="shared" si="261"/>
        <v>172.08</v>
      </c>
      <c r="AN127" s="110">
        <f>ROUND(AE127*24.35%,2)-7.31</f>
        <v>0</v>
      </c>
      <c r="AO127" s="118"/>
      <c r="AP127" s="118"/>
      <c r="AQ127" s="118">
        <f t="shared" si="263"/>
        <v>344.08000000000004</v>
      </c>
      <c r="AR127" s="141">
        <f t="shared" si="264"/>
        <v>30</v>
      </c>
      <c r="AS127" s="141"/>
      <c r="AT127" s="141"/>
      <c r="AU127" s="141">
        <f t="shared" si="401"/>
        <v>172.08</v>
      </c>
      <c r="AV127" s="141">
        <v>0</v>
      </c>
      <c r="AW127" s="141"/>
      <c r="AX127" s="145">
        <v>3.25</v>
      </c>
      <c r="AY127" s="110">
        <f t="shared" si="245"/>
        <v>573.16000000000008</v>
      </c>
      <c r="AZ127" s="110">
        <f t="shared" si="246"/>
        <v>34.25</v>
      </c>
      <c r="BA127" s="110">
        <f t="shared" si="247"/>
        <v>607.41000000000008</v>
      </c>
      <c r="BB127" s="142">
        <v>567.83000000000004</v>
      </c>
      <c r="BC127" s="142">
        <v>29.48</v>
      </c>
      <c r="BD127" s="142">
        <f t="shared" si="248"/>
        <v>5.3300000000000409</v>
      </c>
      <c r="BE127" s="142">
        <f t="shared" si="249"/>
        <v>4.7699999999999996</v>
      </c>
      <c r="BF127" s="142">
        <f t="shared" si="250"/>
        <v>113.57</v>
      </c>
      <c r="BG127" s="142">
        <f t="shared" si="251"/>
        <v>5.9</v>
      </c>
      <c r="BH127" s="110">
        <v>47.84</v>
      </c>
      <c r="BI127" s="110">
        <v>0</v>
      </c>
      <c r="BJ127" s="110">
        <v>5.16</v>
      </c>
      <c r="BL127" s="110">
        <f t="shared" si="271"/>
        <v>626.16000000000008</v>
      </c>
      <c r="BM127" s="110">
        <f t="shared" si="272"/>
        <v>34.25</v>
      </c>
      <c r="BN127" s="110">
        <f t="shared" si="273"/>
        <v>660.41000000000008</v>
      </c>
      <c r="BO127" s="110">
        <v>617.91</v>
      </c>
      <c r="BP127" s="129">
        <v>31.73</v>
      </c>
      <c r="BQ127" s="110">
        <f t="shared" si="274"/>
        <v>8.2500000000001137</v>
      </c>
      <c r="BR127" s="110">
        <f t="shared" si="275"/>
        <v>2.5199999999999996</v>
      </c>
      <c r="BS127" s="110">
        <f t="shared" si="276"/>
        <v>56.17</v>
      </c>
      <c r="BT127" s="110">
        <f t="shared" si="277"/>
        <v>2.88</v>
      </c>
      <c r="BU127" s="146">
        <v>50</v>
      </c>
      <c r="BV127" s="110">
        <v>0</v>
      </c>
      <c r="CA127" s="110">
        <f t="shared" si="278"/>
        <v>676.16000000000008</v>
      </c>
      <c r="CB127" s="110">
        <f t="shared" si="279"/>
        <v>34.25</v>
      </c>
    </row>
    <row r="128" spans="1:80" ht="18" x14ac:dyDescent="0.3">
      <c r="A128" s="18">
        <v>29</v>
      </c>
      <c r="B128" s="18" t="s">
        <v>202</v>
      </c>
      <c r="C128" s="19" t="s">
        <v>203</v>
      </c>
      <c r="D128" s="20" t="s">
        <v>204</v>
      </c>
      <c r="E128" s="21">
        <v>721000</v>
      </c>
      <c r="F128" s="82">
        <v>320.75</v>
      </c>
      <c r="G128" s="82">
        <v>0</v>
      </c>
      <c r="H128" s="82">
        <v>310.75</v>
      </c>
      <c r="I128" s="22">
        <v>0</v>
      </c>
      <c r="J128" s="89">
        <v>0</v>
      </c>
      <c r="K128" s="89">
        <v>0</v>
      </c>
      <c r="L128" s="89">
        <v>0</v>
      </c>
      <c r="M128" s="89">
        <f t="shared" si="494"/>
        <v>0</v>
      </c>
      <c r="N128" s="89">
        <v>350</v>
      </c>
      <c r="O128" s="89">
        <v>13</v>
      </c>
      <c r="P128" s="89">
        <v>0</v>
      </c>
      <c r="Q128" s="89">
        <f t="shared" si="495"/>
        <v>363</v>
      </c>
      <c r="R128" s="89">
        <f t="shared" si="496"/>
        <v>363</v>
      </c>
      <c r="S128" s="89">
        <v>0</v>
      </c>
      <c r="V128" s="22">
        <f t="shared" si="490"/>
        <v>328.87</v>
      </c>
      <c r="W128" s="22">
        <f t="shared" si="491"/>
        <v>0</v>
      </c>
      <c r="X128" s="22">
        <f t="shared" si="252"/>
        <v>34.129999999999995</v>
      </c>
      <c r="Y128" s="22">
        <f t="shared" si="253"/>
        <v>0</v>
      </c>
      <c r="Z128" s="22">
        <v>0</v>
      </c>
      <c r="AA128" s="22">
        <v>328.87</v>
      </c>
      <c r="AB128" s="22">
        <f t="shared" si="254"/>
        <v>328.87</v>
      </c>
      <c r="AC128" s="111">
        <f t="shared" si="255"/>
        <v>0</v>
      </c>
      <c r="AD128" s="22">
        <f t="shared" si="497"/>
        <v>328.87</v>
      </c>
      <c r="AE128" s="22">
        <f t="shared" ref="AE128:AE132" si="498">IF(Y128&gt;0,W128,S128)</f>
        <v>0</v>
      </c>
      <c r="AF128" s="22">
        <f t="shared" si="256"/>
        <v>0</v>
      </c>
      <c r="AG128" s="110">
        <f t="shared" si="257"/>
        <v>82</v>
      </c>
      <c r="AH128" s="110">
        <f t="shared" si="258"/>
        <v>0</v>
      </c>
      <c r="AI128" s="129">
        <f t="shared" si="259"/>
        <v>27</v>
      </c>
      <c r="AJ128" s="110">
        <f t="shared" si="260"/>
        <v>0</v>
      </c>
      <c r="AM128" s="110">
        <f t="shared" si="261"/>
        <v>82.22</v>
      </c>
      <c r="AN128" s="110">
        <f t="shared" si="262"/>
        <v>0</v>
      </c>
      <c r="AO128" s="118"/>
      <c r="AP128" s="118"/>
      <c r="AQ128" s="118">
        <f t="shared" si="263"/>
        <v>164.22</v>
      </c>
      <c r="AR128" s="141">
        <f t="shared" si="264"/>
        <v>0</v>
      </c>
      <c r="AS128" s="141"/>
      <c r="AT128" s="141"/>
      <c r="AU128" s="141">
        <f t="shared" si="401"/>
        <v>82.22</v>
      </c>
      <c r="AV128" s="141">
        <f>ROUND(AE128*25%,2)</f>
        <v>0</v>
      </c>
      <c r="AW128" s="141"/>
      <c r="AX128" s="141"/>
      <c r="AY128" s="110">
        <f t="shared" ref="AY128:AY190" si="499">+AQ128+AS128+AU128+AW128+AI128</f>
        <v>273.44</v>
      </c>
      <c r="AZ128" s="110">
        <f t="shared" ref="AZ128:AZ190" si="500">+AR128+AT128+AV128+AX128+AJ128</f>
        <v>0</v>
      </c>
      <c r="BA128" s="110">
        <f t="shared" ref="BA128:BA190" si="501">+AY128+AZ128</f>
        <v>273.44</v>
      </c>
      <c r="BB128" s="142">
        <v>238.59</v>
      </c>
      <c r="BD128" s="142">
        <f t="shared" ref="BD128:BD190" si="502">AY128-BB128</f>
        <v>34.849999999999994</v>
      </c>
      <c r="BE128" s="142">
        <f t="shared" ref="BE128:BE190" si="503">AZ128-BC128</f>
        <v>0</v>
      </c>
      <c r="BF128" s="142">
        <f t="shared" ref="BF128:BF190" si="504">ROUND(BB128/10*2,2)</f>
        <v>47.72</v>
      </c>
      <c r="BG128" s="142">
        <f t="shared" ref="BG128:BG190" si="505">ROUND(BC128/10*2,2)</f>
        <v>0</v>
      </c>
      <c r="BH128" s="110">
        <v>6.44</v>
      </c>
      <c r="BI128" s="110">
        <v>0</v>
      </c>
      <c r="BL128" s="110">
        <f t="shared" si="271"/>
        <v>279.88</v>
      </c>
      <c r="BM128" s="110">
        <f t="shared" si="272"/>
        <v>0</v>
      </c>
      <c r="BN128" s="110">
        <f t="shared" si="273"/>
        <v>279.88</v>
      </c>
      <c r="BO128" s="110">
        <v>263.72000000000003</v>
      </c>
      <c r="BP128" s="129"/>
      <c r="BQ128" s="110">
        <f t="shared" si="274"/>
        <v>16.159999999999968</v>
      </c>
      <c r="BR128" s="110">
        <f t="shared" si="275"/>
        <v>0</v>
      </c>
      <c r="BS128" s="110">
        <f t="shared" si="276"/>
        <v>23.97</v>
      </c>
      <c r="BT128" s="110">
        <f t="shared" si="277"/>
        <v>0</v>
      </c>
      <c r="BU128" s="110">
        <v>7.81</v>
      </c>
      <c r="BV128" s="110">
        <f t="shared" si="487"/>
        <v>0</v>
      </c>
      <c r="BW128" s="111">
        <v>8.5</v>
      </c>
      <c r="CA128" s="110">
        <f t="shared" si="278"/>
        <v>296.19</v>
      </c>
      <c r="CB128" s="110">
        <f t="shared" si="279"/>
        <v>0</v>
      </c>
    </row>
    <row r="129" spans="1:80" ht="18" x14ac:dyDescent="0.3">
      <c r="A129" s="18">
        <v>30</v>
      </c>
      <c r="B129" s="18" t="s">
        <v>205</v>
      </c>
      <c r="C129" s="19" t="s">
        <v>85</v>
      </c>
      <c r="D129" s="20" t="s">
        <v>206</v>
      </c>
      <c r="E129" s="21" t="s">
        <v>171</v>
      </c>
      <c r="F129" s="82">
        <v>581</v>
      </c>
      <c r="G129" s="82">
        <v>49.92</v>
      </c>
      <c r="H129" s="82">
        <v>581</v>
      </c>
      <c r="I129" s="22">
        <v>49.92</v>
      </c>
      <c r="J129" s="89">
        <v>650</v>
      </c>
      <c r="K129" s="89">
        <v>0</v>
      </c>
      <c r="L129" s="89">
        <v>0</v>
      </c>
      <c r="M129" s="89">
        <f t="shared" si="494"/>
        <v>650</v>
      </c>
      <c r="N129" s="89">
        <v>0</v>
      </c>
      <c r="O129" s="89">
        <v>0</v>
      </c>
      <c r="P129" s="89">
        <v>0</v>
      </c>
      <c r="Q129" s="89">
        <f t="shared" si="495"/>
        <v>0</v>
      </c>
      <c r="R129" s="89">
        <f t="shared" si="496"/>
        <v>650</v>
      </c>
      <c r="S129" s="89">
        <v>0</v>
      </c>
      <c r="V129" s="22">
        <f t="shared" si="490"/>
        <v>614.87</v>
      </c>
      <c r="W129" s="22">
        <f t="shared" si="491"/>
        <v>51.55</v>
      </c>
      <c r="X129" s="22">
        <f t="shared" ref="X129:X192" si="506">R129-V129</f>
        <v>35.129999999999995</v>
      </c>
      <c r="Y129" s="22">
        <f t="shared" ref="Y129:Y192" si="507">S129-W129</f>
        <v>-51.55</v>
      </c>
      <c r="Z129" s="22">
        <v>614.87</v>
      </c>
      <c r="AA129" s="22"/>
      <c r="AB129" s="22">
        <f t="shared" ref="AB129:AB192" si="508">Z129+AA129</f>
        <v>614.87</v>
      </c>
      <c r="AC129" s="111">
        <f t="shared" ref="AC129:AC192" si="509">AD129-AB129</f>
        <v>0</v>
      </c>
      <c r="AD129" s="22">
        <f t="shared" si="497"/>
        <v>614.87</v>
      </c>
      <c r="AE129" s="22">
        <f t="shared" si="498"/>
        <v>0</v>
      </c>
      <c r="AF129" s="22">
        <f t="shared" ref="AF129:AF192" si="510">ROUND(S129*0.9022,2)</f>
        <v>0</v>
      </c>
      <c r="AG129" s="110">
        <f t="shared" ref="AG129:AG192" si="511">ROUND(AD129/4,0)</f>
        <v>154</v>
      </c>
      <c r="AH129" s="110">
        <f t="shared" ref="AH129:AH192" si="512">ROUND(AE129/4,0)</f>
        <v>0</v>
      </c>
      <c r="AI129" s="129">
        <f t="shared" ref="AI129:AI192" si="513">ROUND(AD129/12,0)</f>
        <v>51</v>
      </c>
      <c r="AJ129" s="110">
        <f t="shared" ref="AJ129:AJ192" si="514">ROUND(AE129/12,0)</f>
        <v>0</v>
      </c>
      <c r="AM129" s="110">
        <f t="shared" ref="AM129:AM192" si="515">ROUND(AD129*25%,2)</f>
        <v>153.72</v>
      </c>
      <c r="AN129" s="110">
        <f t="shared" ref="AN129:AN192" si="516">ROUND(AE129*24.35%,2)</f>
        <v>0</v>
      </c>
      <c r="AO129" s="118"/>
      <c r="AP129" s="118"/>
      <c r="AQ129" s="118">
        <f t="shared" ref="AQ129:AQ192" si="517">+AM129+AK129+AG129+AO129</f>
        <v>307.72000000000003</v>
      </c>
      <c r="AR129" s="118">
        <f t="shared" ref="AR129:AR192" si="518">+AN129+AL129+AH129+AP129</f>
        <v>0</v>
      </c>
      <c r="AS129" s="118"/>
      <c r="AT129" s="118"/>
      <c r="AU129" s="118">
        <f t="shared" si="401"/>
        <v>153.72</v>
      </c>
      <c r="AV129" s="118">
        <f t="shared" ref="AV129:AV130" si="519">ROUND(AE129*25%,2)</f>
        <v>0</v>
      </c>
      <c r="AW129" s="118"/>
      <c r="AX129" s="118"/>
      <c r="AY129" s="110">
        <f t="shared" si="499"/>
        <v>512.44000000000005</v>
      </c>
      <c r="AZ129" s="110">
        <f t="shared" si="500"/>
        <v>0</v>
      </c>
      <c r="BA129" s="110">
        <f t="shared" si="501"/>
        <v>512.44000000000005</v>
      </c>
      <c r="BB129" s="142">
        <v>506.37</v>
      </c>
      <c r="BD129" s="142">
        <f t="shared" si="502"/>
        <v>6.07000000000005</v>
      </c>
      <c r="BE129" s="142">
        <f t="shared" si="503"/>
        <v>0</v>
      </c>
      <c r="BF129" s="142">
        <f t="shared" si="504"/>
        <v>101.27</v>
      </c>
      <c r="BG129" s="142">
        <f t="shared" si="505"/>
        <v>0</v>
      </c>
      <c r="BH129" s="146">
        <v>63.78</v>
      </c>
      <c r="BI129" s="110">
        <v>0</v>
      </c>
      <c r="BL129" s="110">
        <f t="shared" si="271"/>
        <v>576.22</v>
      </c>
      <c r="BM129" s="110">
        <f t="shared" si="272"/>
        <v>0</v>
      </c>
      <c r="BN129" s="110">
        <f t="shared" si="273"/>
        <v>576.22</v>
      </c>
      <c r="BO129" s="110">
        <v>565</v>
      </c>
      <c r="BP129" s="129"/>
      <c r="BQ129" s="110">
        <f t="shared" si="274"/>
        <v>11.220000000000027</v>
      </c>
      <c r="BR129" s="110">
        <f t="shared" si="275"/>
        <v>0</v>
      </c>
      <c r="BS129" s="110">
        <f t="shared" si="276"/>
        <v>51.36</v>
      </c>
      <c r="BT129" s="110">
        <f t="shared" si="277"/>
        <v>0</v>
      </c>
      <c r="BU129" s="146">
        <f>45+18.78</f>
        <v>63.78</v>
      </c>
      <c r="BV129" s="146">
        <v>1.58</v>
      </c>
      <c r="BW129" s="146"/>
      <c r="BX129" s="146"/>
      <c r="BY129" s="146"/>
      <c r="BZ129" s="146"/>
      <c r="CA129" s="110">
        <f t="shared" si="278"/>
        <v>640</v>
      </c>
      <c r="CB129" s="110">
        <f t="shared" si="279"/>
        <v>1.58</v>
      </c>
    </row>
    <row r="130" spans="1:80" ht="18" x14ac:dyDescent="0.3">
      <c r="A130" s="18">
        <v>31</v>
      </c>
      <c r="B130" s="18" t="s">
        <v>207</v>
      </c>
      <c r="C130" s="19" t="s">
        <v>208</v>
      </c>
      <c r="D130" s="20" t="s">
        <v>209</v>
      </c>
      <c r="E130" s="21" t="s">
        <v>210</v>
      </c>
      <c r="F130" s="82">
        <v>321.82</v>
      </c>
      <c r="G130" s="82">
        <v>0</v>
      </c>
      <c r="H130" s="82">
        <v>321.82</v>
      </c>
      <c r="I130" s="22">
        <v>0</v>
      </c>
      <c r="J130" s="89">
        <v>300</v>
      </c>
      <c r="K130" s="89">
        <v>0</v>
      </c>
      <c r="L130" s="89">
        <v>0</v>
      </c>
      <c r="M130" s="89">
        <f t="shared" si="494"/>
        <v>300</v>
      </c>
      <c r="N130" s="89">
        <v>0</v>
      </c>
      <c r="O130" s="89">
        <v>0</v>
      </c>
      <c r="P130" s="89">
        <v>0</v>
      </c>
      <c r="Q130" s="89">
        <f t="shared" si="495"/>
        <v>0</v>
      </c>
      <c r="R130" s="89">
        <f t="shared" si="496"/>
        <v>300</v>
      </c>
      <c r="S130" s="89">
        <v>0</v>
      </c>
      <c r="V130" s="22">
        <f t="shared" si="490"/>
        <v>340.58</v>
      </c>
      <c r="W130" s="22">
        <f t="shared" si="491"/>
        <v>0</v>
      </c>
      <c r="X130" s="22">
        <f t="shared" si="506"/>
        <v>-40.579999999999984</v>
      </c>
      <c r="Y130" s="22">
        <f t="shared" si="507"/>
        <v>0</v>
      </c>
      <c r="Z130" s="22">
        <v>300</v>
      </c>
      <c r="AA130" s="22"/>
      <c r="AB130" s="22">
        <f t="shared" si="508"/>
        <v>300</v>
      </c>
      <c r="AC130" s="111">
        <f t="shared" si="509"/>
        <v>0</v>
      </c>
      <c r="AD130" s="22">
        <f t="shared" si="497"/>
        <v>300</v>
      </c>
      <c r="AE130" s="22">
        <f t="shared" si="498"/>
        <v>0</v>
      </c>
      <c r="AF130" s="22">
        <f t="shared" si="510"/>
        <v>0</v>
      </c>
      <c r="AG130" s="110">
        <f t="shared" si="511"/>
        <v>75</v>
      </c>
      <c r="AH130" s="110">
        <f t="shared" si="512"/>
        <v>0</v>
      </c>
      <c r="AI130" s="129">
        <f t="shared" si="513"/>
        <v>25</v>
      </c>
      <c r="AJ130" s="110">
        <f t="shared" si="514"/>
        <v>0</v>
      </c>
      <c r="AM130" s="110">
        <f t="shared" si="515"/>
        <v>75</v>
      </c>
      <c r="AN130" s="110">
        <f t="shared" si="516"/>
        <v>0</v>
      </c>
      <c r="AO130" s="118"/>
      <c r="AP130" s="118"/>
      <c r="AQ130" s="118">
        <f t="shared" si="517"/>
        <v>150</v>
      </c>
      <c r="AR130" s="118">
        <f t="shared" si="518"/>
        <v>0</v>
      </c>
      <c r="AS130" s="118"/>
      <c r="AT130" s="118"/>
      <c r="AU130" s="118">
        <f t="shared" si="401"/>
        <v>75</v>
      </c>
      <c r="AV130" s="118">
        <f t="shared" si="519"/>
        <v>0</v>
      </c>
      <c r="AW130" s="118"/>
      <c r="AX130" s="118"/>
      <c r="AY130" s="110">
        <f t="shared" si="499"/>
        <v>250</v>
      </c>
      <c r="AZ130" s="110">
        <f t="shared" si="500"/>
        <v>0</v>
      </c>
      <c r="BA130" s="110">
        <f t="shared" si="501"/>
        <v>250</v>
      </c>
      <c r="BB130" s="142">
        <v>223.24</v>
      </c>
      <c r="BD130" s="142">
        <f t="shared" si="502"/>
        <v>26.759999999999991</v>
      </c>
      <c r="BE130" s="142">
        <f t="shared" si="503"/>
        <v>0</v>
      </c>
      <c r="BF130" s="142">
        <f t="shared" si="504"/>
        <v>44.65</v>
      </c>
      <c r="BG130" s="142">
        <f t="shared" si="505"/>
        <v>0</v>
      </c>
      <c r="BH130" s="110">
        <v>8.9499999999999993</v>
      </c>
      <c r="BI130" s="110">
        <v>0</v>
      </c>
      <c r="BL130" s="110">
        <f t="shared" si="271"/>
        <v>258.95</v>
      </c>
      <c r="BM130" s="110">
        <f t="shared" si="272"/>
        <v>0</v>
      </c>
      <c r="BN130" s="110">
        <f t="shared" si="273"/>
        <v>258.95</v>
      </c>
      <c r="BO130" s="110">
        <v>240.88</v>
      </c>
      <c r="BP130" s="129"/>
      <c r="BQ130" s="110">
        <f t="shared" si="274"/>
        <v>18.069999999999993</v>
      </c>
      <c r="BR130" s="110">
        <f t="shared" si="275"/>
        <v>0</v>
      </c>
      <c r="BS130" s="110">
        <f t="shared" si="276"/>
        <v>21.9</v>
      </c>
      <c r="BT130" s="110">
        <f t="shared" si="277"/>
        <v>0</v>
      </c>
      <c r="BU130" s="110">
        <v>3.83</v>
      </c>
      <c r="BV130" s="110">
        <f>ROUND(BT130-BR130,2)</f>
        <v>0</v>
      </c>
      <c r="CA130" s="110">
        <f t="shared" si="278"/>
        <v>262.77999999999997</v>
      </c>
      <c r="CB130" s="110">
        <f t="shared" si="279"/>
        <v>0</v>
      </c>
    </row>
    <row r="131" spans="1:80" ht="36" x14ac:dyDescent="0.3">
      <c r="A131" s="18">
        <v>32</v>
      </c>
      <c r="B131" s="18" t="s">
        <v>211</v>
      </c>
      <c r="C131" s="19" t="s">
        <v>13</v>
      </c>
      <c r="D131" s="20" t="s">
        <v>212</v>
      </c>
      <c r="E131" s="21" t="s">
        <v>213</v>
      </c>
      <c r="F131" s="82">
        <v>340.61</v>
      </c>
      <c r="G131" s="82">
        <v>36.32</v>
      </c>
      <c r="H131" s="82">
        <v>340.61</v>
      </c>
      <c r="I131" s="22">
        <v>36.32</v>
      </c>
      <c r="J131" s="89">
        <v>416.11</v>
      </c>
      <c r="K131" s="89">
        <v>0</v>
      </c>
      <c r="L131" s="89">
        <v>0</v>
      </c>
      <c r="M131" s="89">
        <f t="shared" si="494"/>
        <v>416.11</v>
      </c>
      <c r="N131" s="89">
        <v>0</v>
      </c>
      <c r="O131" s="89">
        <v>0</v>
      </c>
      <c r="P131" s="89">
        <v>0</v>
      </c>
      <c r="Q131" s="89">
        <f t="shared" si="495"/>
        <v>0</v>
      </c>
      <c r="R131" s="89">
        <f t="shared" si="496"/>
        <v>416.11</v>
      </c>
      <c r="S131" s="89">
        <v>36.450000000000003</v>
      </c>
      <c r="V131" s="22">
        <f t="shared" si="490"/>
        <v>360.47</v>
      </c>
      <c r="W131" s="22">
        <f t="shared" si="491"/>
        <v>37.51</v>
      </c>
      <c r="X131" s="22">
        <f t="shared" si="506"/>
        <v>55.639999999999986</v>
      </c>
      <c r="Y131" s="22">
        <f t="shared" si="507"/>
        <v>-1.0599999999999952</v>
      </c>
      <c r="Z131" s="22">
        <v>360.47</v>
      </c>
      <c r="AA131" s="22"/>
      <c r="AB131" s="22">
        <f t="shared" si="508"/>
        <v>360.47</v>
      </c>
      <c r="AC131" s="111">
        <f t="shared" si="509"/>
        <v>0</v>
      </c>
      <c r="AD131" s="22">
        <f t="shared" si="497"/>
        <v>360.47</v>
      </c>
      <c r="AE131" s="22">
        <f t="shared" si="498"/>
        <v>36.450000000000003</v>
      </c>
      <c r="AF131" s="22">
        <f t="shared" si="510"/>
        <v>32.89</v>
      </c>
      <c r="AG131" s="110">
        <f t="shared" si="511"/>
        <v>90</v>
      </c>
      <c r="AH131" s="110">
        <f t="shared" si="512"/>
        <v>9</v>
      </c>
      <c r="AI131" s="129">
        <f t="shared" si="513"/>
        <v>30</v>
      </c>
      <c r="AJ131" s="110">
        <f t="shared" si="514"/>
        <v>3</v>
      </c>
      <c r="AK131" s="146">
        <v>9</v>
      </c>
      <c r="AM131" s="110">
        <f t="shared" si="515"/>
        <v>90.12</v>
      </c>
      <c r="AN131" s="110">
        <f t="shared" si="516"/>
        <v>8.8800000000000008</v>
      </c>
      <c r="AO131" s="118"/>
      <c r="AP131" s="118"/>
      <c r="AQ131" s="118">
        <f t="shared" si="517"/>
        <v>189.12</v>
      </c>
      <c r="AR131" s="118">
        <f t="shared" si="518"/>
        <v>17.880000000000003</v>
      </c>
      <c r="AS131" s="118">
        <v>20.14</v>
      </c>
      <c r="AT131" s="118"/>
      <c r="AU131" s="141">
        <f t="shared" si="401"/>
        <v>90.12</v>
      </c>
      <c r="AV131" s="141">
        <v>0</v>
      </c>
      <c r="AW131" s="145">
        <v>44.66</v>
      </c>
      <c r="AX131" s="141"/>
      <c r="AY131" s="110">
        <f t="shared" si="499"/>
        <v>374.03999999999996</v>
      </c>
      <c r="AZ131" s="110">
        <f t="shared" si="500"/>
        <v>20.880000000000003</v>
      </c>
      <c r="BA131" s="110">
        <f t="shared" si="501"/>
        <v>394.91999999999996</v>
      </c>
      <c r="BB131" s="142">
        <v>371.17</v>
      </c>
      <c r="BD131" s="142">
        <f t="shared" si="502"/>
        <v>2.8699999999999477</v>
      </c>
      <c r="BE131" s="142">
        <f t="shared" si="503"/>
        <v>20.880000000000003</v>
      </c>
      <c r="BF131" s="142">
        <f t="shared" si="504"/>
        <v>74.23</v>
      </c>
      <c r="BG131" s="142">
        <f t="shared" si="505"/>
        <v>0</v>
      </c>
      <c r="BH131" s="110">
        <v>35.68</v>
      </c>
      <c r="BI131" s="110">
        <v>0</v>
      </c>
      <c r="BJ131" s="110">
        <v>7</v>
      </c>
      <c r="BL131" s="110">
        <f t="shared" si="271"/>
        <v>416.71999999999997</v>
      </c>
      <c r="BM131" s="110">
        <f t="shared" si="272"/>
        <v>20.880000000000003</v>
      </c>
      <c r="BN131" s="110">
        <f t="shared" si="273"/>
        <v>437.59999999999997</v>
      </c>
      <c r="BO131" s="110">
        <v>411.23</v>
      </c>
      <c r="BP131" s="129"/>
      <c r="BQ131" s="110">
        <f t="shared" si="274"/>
        <v>5.4899999999999523</v>
      </c>
      <c r="BR131" s="110">
        <f t="shared" si="275"/>
        <v>20.880000000000003</v>
      </c>
      <c r="BS131" s="110">
        <f t="shared" si="276"/>
        <v>37.380000000000003</v>
      </c>
      <c r="BT131" s="110">
        <f t="shared" si="277"/>
        <v>0</v>
      </c>
      <c r="BU131" s="110">
        <v>31.89</v>
      </c>
      <c r="BV131" s="110">
        <v>0</v>
      </c>
      <c r="BW131" s="111">
        <v>10</v>
      </c>
      <c r="BY131" s="110">
        <v>20.88</v>
      </c>
      <c r="CA131" s="110">
        <f t="shared" si="278"/>
        <v>458.60999999999996</v>
      </c>
      <c r="CB131" s="110">
        <f>+BM131+BV131+BX131-BY131</f>
        <v>0</v>
      </c>
    </row>
    <row r="132" spans="1:80" ht="18" x14ac:dyDescent="0.3">
      <c r="A132" s="13">
        <v>33</v>
      </c>
      <c r="B132" s="13"/>
      <c r="C132" s="14"/>
      <c r="D132" s="15" t="s">
        <v>214</v>
      </c>
      <c r="E132" s="16"/>
      <c r="F132" s="82">
        <v>355.52000000000004</v>
      </c>
      <c r="G132" s="82">
        <v>0</v>
      </c>
      <c r="H132" s="82">
        <v>355.52000000000004</v>
      </c>
      <c r="I132" s="17">
        <v>0</v>
      </c>
      <c r="J132" s="87">
        <v>480</v>
      </c>
      <c r="K132" s="88">
        <v>0</v>
      </c>
      <c r="L132" s="88">
        <v>0</v>
      </c>
      <c r="M132" s="88">
        <f t="shared" si="494"/>
        <v>480</v>
      </c>
      <c r="N132" s="88">
        <v>0</v>
      </c>
      <c r="O132" s="88">
        <v>0</v>
      </c>
      <c r="P132" s="88">
        <v>0</v>
      </c>
      <c r="Q132" s="88">
        <f t="shared" si="495"/>
        <v>0</v>
      </c>
      <c r="R132" s="88">
        <f t="shared" si="496"/>
        <v>480</v>
      </c>
      <c r="S132" s="88">
        <v>0</v>
      </c>
      <c r="V132" s="17">
        <f t="shared" si="490"/>
        <v>376.25</v>
      </c>
      <c r="W132" s="17">
        <f t="shared" si="491"/>
        <v>0</v>
      </c>
      <c r="X132" s="110">
        <f t="shared" si="506"/>
        <v>103.75</v>
      </c>
      <c r="Y132" s="110">
        <f t="shared" si="507"/>
        <v>0</v>
      </c>
      <c r="Z132" s="110">
        <v>376.25</v>
      </c>
      <c r="AA132" s="110"/>
      <c r="AB132" s="110">
        <f t="shared" si="508"/>
        <v>376.25</v>
      </c>
      <c r="AC132" s="111">
        <f t="shared" si="509"/>
        <v>0</v>
      </c>
      <c r="AD132" s="110">
        <f t="shared" si="497"/>
        <v>376.25</v>
      </c>
      <c r="AE132" s="110">
        <f t="shared" si="498"/>
        <v>0</v>
      </c>
      <c r="AF132" s="110">
        <f t="shared" si="510"/>
        <v>0</v>
      </c>
      <c r="AG132" s="110">
        <f t="shared" si="511"/>
        <v>94</v>
      </c>
      <c r="AH132" s="110">
        <f t="shared" si="512"/>
        <v>0</v>
      </c>
      <c r="AI132" s="129">
        <f t="shared" si="513"/>
        <v>31</v>
      </c>
      <c r="AJ132" s="110">
        <f t="shared" si="514"/>
        <v>0</v>
      </c>
      <c r="AM132" s="110">
        <f t="shared" si="515"/>
        <v>94.06</v>
      </c>
      <c r="AN132" s="110">
        <f t="shared" si="516"/>
        <v>0</v>
      </c>
      <c r="AO132" s="118"/>
      <c r="AP132" s="118"/>
      <c r="AQ132" s="118">
        <f t="shared" si="517"/>
        <v>188.06</v>
      </c>
      <c r="AR132" s="118">
        <f t="shared" si="518"/>
        <v>0</v>
      </c>
      <c r="AS132" s="118"/>
      <c r="AT132" s="118"/>
      <c r="AU132" s="118">
        <f t="shared" si="401"/>
        <v>94.06</v>
      </c>
      <c r="AV132" s="118">
        <f>ROUND(AE132*25%,2)</f>
        <v>0</v>
      </c>
      <c r="AW132" s="146">
        <v>80</v>
      </c>
      <c r="AX132" s="118"/>
      <c r="AY132" s="110">
        <f t="shared" si="499"/>
        <v>393.12</v>
      </c>
      <c r="AZ132" s="110">
        <f t="shared" si="500"/>
        <v>0</v>
      </c>
      <c r="BA132" s="110">
        <f t="shared" si="501"/>
        <v>393.12</v>
      </c>
      <c r="BB132" s="142">
        <v>390.88</v>
      </c>
      <c r="BD132" s="142">
        <f t="shared" si="502"/>
        <v>2.2400000000000091</v>
      </c>
      <c r="BE132" s="142">
        <f t="shared" si="503"/>
        <v>0</v>
      </c>
      <c r="BF132" s="142">
        <f t="shared" si="504"/>
        <v>78.180000000000007</v>
      </c>
      <c r="BG132" s="142">
        <f t="shared" si="505"/>
        <v>0</v>
      </c>
      <c r="BH132" s="110">
        <v>37.97</v>
      </c>
      <c r="BI132" s="110">
        <v>0</v>
      </c>
      <c r="BL132" s="110">
        <f t="shared" si="271"/>
        <v>431.09000000000003</v>
      </c>
      <c r="BM132" s="110">
        <f t="shared" si="272"/>
        <v>0</v>
      </c>
      <c r="BN132" s="110">
        <f t="shared" si="273"/>
        <v>431.09000000000003</v>
      </c>
      <c r="BO132" s="110">
        <v>437.1</v>
      </c>
      <c r="BP132" s="129"/>
      <c r="BQ132" s="110">
        <f t="shared" si="274"/>
        <v>-6.0099999999999909</v>
      </c>
      <c r="BR132" s="110">
        <f t="shared" si="275"/>
        <v>0</v>
      </c>
      <c r="BS132" s="110">
        <f t="shared" si="276"/>
        <v>39.74</v>
      </c>
      <c r="BT132" s="110">
        <f t="shared" si="277"/>
        <v>0</v>
      </c>
      <c r="BU132" s="146">
        <v>58.5</v>
      </c>
      <c r="BV132" s="110">
        <f t="shared" ref="BV132:BV133" si="520">ROUND(BT132-BR132,2)</f>
        <v>0</v>
      </c>
      <c r="CA132" s="110">
        <f t="shared" si="278"/>
        <v>489.59000000000003</v>
      </c>
      <c r="CB132" s="110">
        <f t="shared" si="279"/>
        <v>0</v>
      </c>
    </row>
    <row r="133" spans="1:80" ht="36" x14ac:dyDescent="0.3">
      <c r="A133" s="13">
        <v>34</v>
      </c>
      <c r="B133" s="13"/>
      <c r="C133" s="14"/>
      <c r="D133" s="15" t="s">
        <v>215</v>
      </c>
      <c r="E133" s="16"/>
      <c r="F133" s="82">
        <v>601.11</v>
      </c>
      <c r="G133" s="82">
        <v>0</v>
      </c>
      <c r="H133" s="82">
        <v>601.11</v>
      </c>
      <c r="I133" s="17">
        <v>0</v>
      </c>
      <c r="J133" s="87">
        <v>630</v>
      </c>
      <c r="K133" s="88">
        <v>0</v>
      </c>
      <c r="L133" s="88">
        <v>0</v>
      </c>
      <c r="M133" s="88">
        <f t="shared" si="494"/>
        <v>630</v>
      </c>
      <c r="N133" s="88">
        <v>0</v>
      </c>
      <c r="O133" s="88">
        <v>0</v>
      </c>
      <c r="P133" s="88">
        <v>0</v>
      </c>
      <c r="Q133" s="88">
        <f t="shared" si="495"/>
        <v>0</v>
      </c>
      <c r="R133" s="88">
        <f t="shared" si="496"/>
        <v>630</v>
      </c>
      <c r="S133" s="88">
        <v>0</v>
      </c>
      <c r="V133" s="17">
        <f t="shared" ref="V133" si="521">ROUND(H133*1.0583,2)</f>
        <v>636.15</v>
      </c>
      <c r="W133" s="17">
        <f t="shared" ref="W133" si="522">ROUND(I133*1.0327,2)</f>
        <v>0</v>
      </c>
      <c r="X133" s="110">
        <f t="shared" si="506"/>
        <v>-6.1499999999999773</v>
      </c>
      <c r="Y133" s="110">
        <f t="shared" si="507"/>
        <v>0</v>
      </c>
      <c r="Z133" s="110">
        <v>630</v>
      </c>
      <c r="AA133" s="110"/>
      <c r="AB133" s="110">
        <f t="shared" si="508"/>
        <v>630</v>
      </c>
      <c r="AC133" s="111">
        <f t="shared" si="509"/>
        <v>0</v>
      </c>
      <c r="AD133" s="110">
        <f t="shared" ref="AD133" si="523">IF(X133&gt;0,V133,R133)</f>
        <v>630</v>
      </c>
      <c r="AE133" s="110">
        <f t="shared" ref="AE133" si="524">IF(Y133&gt;0,W133,S133)</f>
        <v>0</v>
      </c>
      <c r="AF133" s="110">
        <f t="shared" si="510"/>
        <v>0</v>
      </c>
      <c r="AG133" s="110">
        <f t="shared" si="511"/>
        <v>158</v>
      </c>
      <c r="AH133" s="110">
        <f t="shared" si="512"/>
        <v>0</v>
      </c>
      <c r="AI133" s="129">
        <f t="shared" si="513"/>
        <v>53</v>
      </c>
      <c r="AJ133" s="110">
        <f t="shared" si="514"/>
        <v>0</v>
      </c>
      <c r="AM133" s="110">
        <f t="shared" si="515"/>
        <v>157.5</v>
      </c>
      <c r="AN133" s="110">
        <f t="shared" si="516"/>
        <v>0</v>
      </c>
      <c r="AO133" s="118"/>
      <c r="AP133" s="118"/>
      <c r="AQ133" s="118">
        <f t="shared" si="517"/>
        <v>315.5</v>
      </c>
      <c r="AR133" s="118">
        <f t="shared" si="518"/>
        <v>0</v>
      </c>
      <c r="AS133" s="118"/>
      <c r="AT133" s="118"/>
      <c r="AU133" s="118">
        <f t="shared" si="401"/>
        <v>157.5</v>
      </c>
      <c r="AV133" s="118">
        <f t="shared" ref="AV133:AV155" si="525">ROUND(AE133*25%,2)</f>
        <v>0</v>
      </c>
      <c r="AW133" s="118"/>
      <c r="AX133" s="118"/>
      <c r="AY133" s="110">
        <f t="shared" si="499"/>
        <v>526</v>
      </c>
      <c r="AZ133" s="110">
        <f t="shared" si="500"/>
        <v>0</v>
      </c>
      <c r="BA133" s="110">
        <f t="shared" si="501"/>
        <v>526</v>
      </c>
      <c r="BB133" s="142">
        <v>424</v>
      </c>
      <c r="BD133" s="142">
        <f t="shared" si="502"/>
        <v>102</v>
      </c>
      <c r="BE133" s="142">
        <f t="shared" si="503"/>
        <v>0</v>
      </c>
      <c r="BF133" s="142">
        <f t="shared" si="504"/>
        <v>84.8</v>
      </c>
      <c r="BG133" s="142">
        <f t="shared" si="505"/>
        <v>0</v>
      </c>
      <c r="BH133" s="110">
        <v>0</v>
      </c>
      <c r="BI133" s="110">
        <v>0</v>
      </c>
      <c r="BL133" s="110">
        <f t="shared" ref="BL133:BL196" si="526">+BH133+AY133+BJ133</f>
        <v>526</v>
      </c>
      <c r="BM133" s="110">
        <f t="shared" si="272"/>
        <v>0</v>
      </c>
      <c r="BN133" s="110">
        <f t="shared" si="273"/>
        <v>526</v>
      </c>
      <c r="BO133" s="110">
        <v>424</v>
      </c>
      <c r="BP133" s="129"/>
      <c r="BQ133" s="110">
        <f t="shared" si="274"/>
        <v>102</v>
      </c>
      <c r="BR133" s="110">
        <f t="shared" si="275"/>
        <v>0</v>
      </c>
      <c r="BS133" s="110">
        <f t="shared" si="276"/>
        <v>38.549999999999997</v>
      </c>
      <c r="BT133" s="110">
        <f t="shared" si="277"/>
        <v>0</v>
      </c>
      <c r="BU133" s="146">
        <v>6</v>
      </c>
      <c r="BV133" s="110">
        <f t="shared" si="520"/>
        <v>0</v>
      </c>
      <c r="CA133" s="110">
        <f t="shared" si="278"/>
        <v>532</v>
      </c>
      <c r="CB133" s="110">
        <f t="shared" si="279"/>
        <v>0</v>
      </c>
    </row>
    <row r="134" spans="1:80" ht="36" x14ac:dyDescent="0.3">
      <c r="A134" s="18"/>
      <c r="B134" s="18" t="s">
        <v>216</v>
      </c>
      <c r="C134" s="19" t="s">
        <v>13</v>
      </c>
      <c r="D134" s="20" t="s">
        <v>214</v>
      </c>
      <c r="E134" s="21" t="s">
        <v>217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9">
        <f t="shared" ref="J134:AA134" si="527">+J132+J133</f>
        <v>1110</v>
      </c>
      <c r="K134" s="89">
        <f t="shared" si="527"/>
        <v>0</v>
      </c>
      <c r="L134" s="89">
        <f t="shared" si="527"/>
        <v>0</v>
      </c>
      <c r="M134" s="89">
        <f t="shared" si="527"/>
        <v>1110</v>
      </c>
      <c r="N134" s="89">
        <f t="shared" si="527"/>
        <v>0</v>
      </c>
      <c r="O134" s="89">
        <f t="shared" si="527"/>
        <v>0</v>
      </c>
      <c r="P134" s="89">
        <f t="shared" si="527"/>
        <v>0</v>
      </c>
      <c r="Q134" s="89">
        <f t="shared" si="527"/>
        <v>0</v>
      </c>
      <c r="R134" s="89">
        <f t="shared" si="527"/>
        <v>1110</v>
      </c>
      <c r="S134" s="89">
        <f t="shared" si="527"/>
        <v>0</v>
      </c>
      <c r="T134" s="89">
        <f t="shared" si="527"/>
        <v>0</v>
      </c>
      <c r="U134" s="89">
        <f t="shared" si="527"/>
        <v>0</v>
      </c>
      <c r="V134" s="89">
        <f t="shared" si="527"/>
        <v>1012.4</v>
      </c>
      <c r="W134" s="89">
        <f t="shared" si="527"/>
        <v>0</v>
      </c>
      <c r="X134" s="89">
        <f t="shared" si="527"/>
        <v>97.600000000000023</v>
      </c>
      <c r="Y134" s="89">
        <f t="shared" si="527"/>
        <v>0</v>
      </c>
      <c r="Z134" s="89">
        <f t="shared" si="527"/>
        <v>1006.25</v>
      </c>
      <c r="AA134" s="89">
        <f t="shared" si="527"/>
        <v>0</v>
      </c>
      <c r="AB134" s="22">
        <f t="shared" si="508"/>
        <v>1006.25</v>
      </c>
      <c r="AC134" s="111">
        <f t="shared" si="509"/>
        <v>0</v>
      </c>
      <c r="AD134" s="22">
        <f t="shared" ref="AD134:CB134" si="528">+AD132+AD133</f>
        <v>1006.25</v>
      </c>
      <c r="AE134" s="22">
        <f t="shared" si="528"/>
        <v>0</v>
      </c>
      <c r="AF134" s="22">
        <f t="shared" si="528"/>
        <v>0</v>
      </c>
      <c r="AG134" s="22">
        <f t="shared" si="528"/>
        <v>252</v>
      </c>
      <c r="AH134" s="22">
        <f t="shared" si="528"/>
        <v>0</v>
      </c>
      <c r="AI134" s="120">
        <f t="shared" si="528"/>
        <v>84</v>
      </c>
      <c r="AJ134" s="22">
        <f t="shared" si="528"/>
        <v>0</v>
      </c>
      <c r="AK134" s="22">
        <f t="shared" si="528"/>
        <v>0</v>
      </c>
      <c r="AL134" s="22">
        <f t="shared" si="528"/>
        <v>0</v>
      </c>
      <c r="AM134" s="22">
        <f t="shared" si="528"/>
        <v>251.56</v>
      </c>
      <c r="AN134" s="22">
        <f t="shared" si="528"/>
        <v>0</v>
      </c>
      <c r="AO134" s="22">
        <f t="shared" si="528"/>
        <v>0</v>
      </c>
      <c r="AP134" s="22">
        <f t="shared" si="528"/>
        <v>0</v>
      </c>
      <c r="AQ134" s="22">
        <f t="shared" si="528"/>
        <v>503.56</v>
      </c>
      <c r="AR134" s="22">
        <f t="shared" si="528"/>
        <v>0</v>
      </c>
      <c r="AS134" s="22">
        <f t="shared" si="528"/>
        <v>0</v>
      </c>
      <c r="AT134" s="22">
        <f t="shared" si="528"/>
        <v>0</v>
      </c>
      <c r="AU134" s="22">
        <f t="shared" si="528"/>
        <v>251.56</v>
      </c>
      <c r="AV134" s="22">
        <f t="shared" si="528"/>
        <v>0</v>
      </c>
      <c r="AW134" s="22">
        <f t="shared" si="528"/>
        <v>80</v>
      </c>
      <c r="AX134" s="22">
        <f t="shared" si="528"/>
        <v>0</v>
      </c>
      <c r="AY134" s="22">
        <f t="shared" si="528"/>
        <v>919.12</v>
      </c>
      <c r="AZ134" s="22">
        <f t="shared" si="528"/>
        <v>0</v>
      </c>
      <c r="BA134" s="22">
        <f t="shared" si="528"/>
        <v>919.12</v>
      </c>
      <c r="BB134" s="22">
        <f t="shared" si="528"/>
        <v>814.88</v>
      </c>
      <c r="BC134" s="22">
        <f t="shared" si="528"/>
        <v>0</v>
      </c>
      <c r="BD134" s="22">
        <f t="shared" si="528"/>
        <v>104.24000000000001</v>
      </c>
      <c r="BE134" s="22">
        <f t="shared" si="528"/>
        <v>0</v>
      </c>
      <c r="BF134" s="22">
        <f t="shared" si="528"/>
        <v>162.98000000000002</v>
      </c>
      <c r="BG134" s="120">
        <f t="shared" si="528"/>
        <v>0</v>
      </c>
      <c r="BH134" s="120">
        <f t="shared" si="528"/>
        <v>37.97</v>
      </c>
      <c r="BI134" s="120">
        <f t="shared" si="528"/>
        <v>0</v>
      </c>
      <c r="BJ134" s="120">
        <f t="shared" si="528"/>
        <v>0</v>
      </c>
      <c r="BK134" s="120">
        <f t="shared" si="528"/>
        <v>0</v>
      </c>
      <c r="BL134" s="120">
        <f t="shared" si="528"/>
        <v>957.09</v>
      </c>
      <c r="BM134" s="120">
        <f t="shared" si="528"/>
        <v>0</v>
      </c>
      <c r="BN134" s="120">
        <f t="shared" si="528"/>
        <v>957.09</v>
      </c>
      <c r="BO134" s="120">
        <f t="shared" si="528"/>
        <v>861.1</v>
      </c>
      <c r="BP134" s="120">
        <f t="shared" si="528"/>
        <v>0</v>
      </c>
      <c r="BQ134" s="22">
        <f t="shared" si="528"/>
        <v>95.990000000000009</v>
      </c>
      <c r="BR134" s="22">
        <f t="shared" si="528"/>
        <v>0</v>
      </c>
      <c r="BS134" s="22">
        <f t="shared" si="528"/>
        <v>78.289999999999992</v>
      </c>
      <c r="BT134" s="22">
        <f t="shared" si="528"/>
        <v>0</v>
      </c>
      <c r="BU134" s="22">
        <f t="shared" si="528"/>
        <v>64.5</v>
      </c>
      <c r="BV134" s="22">
        <f t="shared" si="528"/>
        <v>0</v>
      </c>
      <c r="BW134" s="22">
        <f t="shared" si="528"/>
        <v>0</v>
      </c>
      <c r="BX134" s="22">
        <f t="shared" si="528"/>
        <v>0</v>
      </c>
      <c r="BY134" s="22">
        <f t="shared" si="528"/>
        <v>0</v>
      </c>
      <c r="BZ134" s="22">
        <f t="shared" si="528"/>
        <v>0</v>
      </c>
      <c r="CA134" s="22">
        <f t="shared" si="528"/>
        <v>1021.59</v>
      </c>
      <c r="CB134" s="22">
        <f t="shared" si="528"/>
        <v>0</v>
      </c>
    </row>
    <row r="135" spans="1:80" ht="36" x14ac:dyDescent="0.3">
      <c r="A135" s="46"/>
      <c r="B135" s="46"/>
      <c r="C135" s="47"/>
      <c r="D135" s="48" t="s">
        <v>218</v>
      </c>
      <c r="E135" s="49" t="s">
        <v>219</v>
      </c>
      <c r="F135" s="50">
        <v>36205.109999999993</v>
      </c>
      <c r="G135" s="50">
        <v>11450.289999999997</v>
      </c>
      <c r="H135" s="50">
        <v>36556.42</v>
      </c>
      <c r="I135" s="50">
        <v>11650.539999999997</v>
      </c>
      <c r="J135" s="94">
        <f t="shared" ref="J135:AA135" si="529">+J134+J131+J130+J129+J128+J127+J126+J125+J117+J118+J119+J122+J110+J113+J114+J104+J107+J101+J98+J95+J94+J93+J90</f>
        <v>42962.216</v>
      </c>
      <c r="K135" s="94">
        <f t="shared" si="529"/>
        <v>370</v>
      </c>
      <c r="L135" s="94">
        <f t="shared" si="529"/>
        <v>1.1000000000000001</v>
      </c>
      <c r="M135" s="94">
        <f t="shared" si="529"/>
        <v>43333.315999999999</v>
      </c>
      <c r="N135" s="94">
        <f t="shared" si="529"/>
        <v>752.5</v>
      </c>
      <c r="O135" s="94">
        <f t="shared" si="529"/>
        <v>13</v>
      </c>
      <c r="P135" s="94">
        <f t="shared" si="529"/>
        <v>0</v>
      </c>
      <c r="Q135" s="94">
        <f t="shared" si="529"/>
        <v>765.5</v>
      </c>
      <c r="R135" s="94">
        <f t="shared" si="529"/>
        <v>43348.815999999999</v>
      </c>
      <c r="S135" s="94">
        <f t="shared" si="529"/>
        <v>12981.45</v>
      </c>
      <c r="T135" s="94">
        <f t="shared" si="529"/>
        <v>0</v>
      </c>
      <c r="U135" s="94">
        <f t="shared" si="529"/>
        <v>0</v>
      </c>
      <c r="V135" s="94">
        <f t="shared" si="529"/>
        <v>38687.659999999996</v>
      </c>
      <c r="W135" s="94">
        <f t="shared" si="529"/>
        <v>12031.51</v>
      </c>
      <c r="X135" s="94">
        <f t="shared" si="529"/>
        <v>4661.1559999999999</v>
      </c>
      <c r="Y135" s="94">
        <f t="shared" si="529"/>
        <v>949.94000000000028</v>
      </c>
      <c r="Z135" s="94">
        <f t="shared" si="529"/>
        <v>38067.82</v>
      </c>
      <c r="AA135" s="94">
        <f t="shared" si="529"/>
        <v>618.87</v>
      </c>
      <c r="AB135" s="50">
        <f t="shared" si="508"/>
        <v>38686.69</v>
      </c>
      <c r="AC135" s="111">
        <f t="shared" si="509"/>
        <v>0</v>
      </c>
      <c r="AD135" s="50">
        <f t="shared" ref="AD135:CB135" si="530">+AD134+AD131+AD130+AD129+AD128+AD127+AD126+AD125+AD117+AD118+AD119+AD122+AD110+AD113+AD114+AD104+AD107+AD101+AD98+AD95+AD94+AD93+AD90</f>
        <v>38686.689999999995</v>
      </c>
      <c r="AE135" s="50">
        <f t="shared" si="530"/>
        <v>11482.03</v>
      </c>
      <c r="AF135" s="50">
        <f t="shared" si="530"/>
        <v>11711.869999999999</v>
      </c>
      <c r="AG135" s="50">
        <f t="shared" si="530"/>
        <v>9472</v>
      </c>
      <c r="AH135" s="50">
        <f t="shared" si="530"/>
        <v>2923</v>
      </c>
      <c r="AI135" s="50">
        <f t="shared" si="530"/>
        <v>3157</v>
      </c>
      <c r="AJ135" s="50">
        <f t="shared" si="530"/>
        <v>947</v>
      </c>
      <c r="AK135" s="50">
        <f t="shared" si="530"/>
        <v>224</v>
      </c>
      <c r="AL135" s="50">
        <f t="shared" si="530"/>
        <v>349.75</v>
      </c>
      <c r="AM135" s="50">
        <f t="shared" si="530"/>
        <v>9671.7099999999991</v>
      </c>
      <c r="AN135" s="50">
        <f t="shared" si="530"/>
        <v>2770.29</v>
      </c>
      <c r="AO135" s="50">
        <f t="shared" si="530"/>
        <v>46.65</v>
      </c>
      <c r="AP135" s="50">
        <f t="shared" si="530"/>
        <v>26.74</v>
      </c>
      <c r="AQ135" s="50">
        <f t="shared" si="530"/>
        <v>19414.360000000004</v>
      </c>
      <c r="AR135" s="50">
        <f t="shared" si="530"/>
        <v>6069.7800000000007</v>
      </c>
      <c r="AS135" s="50">
        <f t="shared" si="530"/>
        <v>64.64</v>
      </c>
      <c r="AT135" s="50">
        <f t="shared" si="530"/>
        <v>60</v>
      </c>
      <c r="AU135" s="50">
        <f t="shared" si="530"/>
        <v>9468.0199999999986</v>
      </c>
      <c r="AV135" s="50">
        <f t="shared" si="530"/>
        <v>2819.4900000000002</v>
      </c>
      <c r="AW135" s="50">
        <f t="shared" si="530"/>
        <v>221.48999999999998</v>
      </c>
      <c r="AX135" s="50">
        <f t="shared" si="530"/>
        <v>779.60000000000014</v>
      </c>
      <c r="AY135" s="50">
        <f t="shared" si="530"/>
        <v>32325.51</v>
      </c>
      <c r="AZ135" s="50">
        <f t="shared" si="530"/>
        <v>10675.87</v>
      </c>
      <c r="BA135" s="50">
        <f t="shared" si="530"/>
        <v>43001.380000000005</v>
      </c>
      <c r="BB135" s="50">
        <f t="shared" si="530"/>
        <v>30814.78</v>
      </c>
      <c r="BC135" s="50">
        <f t="shared" si="530"/>
        <v>10186.369999999999</v>
      </c>
      <c r="BD135" s="50">
        <f t="shared" si="530"/>
        <v>1510.73</v>
      </c>
      <c r="BE135" s="50">
        <f t="shared" si="530"/>
        <v>489.50000000000051</v>
      </c>
      <c r="BF135" s="50">
        <f t="shared" si="530"/>
        <v>6162.9599999999991</v>
      </c>
      <c r="BG135" s="50">
        <f t="shared" si="530"/>
        <v>2037.2800000000002</v>
      </c>
      <c r="BH135" s="50">
        <f t="shared" si="530"/>
        <v>2502.69</v>
      </c>
      <c r="BI135" s="50">
        <f t="shared" si="530"/>
        <v>686.8900000000001</v>
      </c>
      <c r="BJ135" s="50">
        <f t="shared" si="530"/>
        <v>67.16</v>
      </c>
      <c r="BK135" s="50">
        <f t="shared" si="530"/>
        <v>55</v>
      </c>
      <c r="BL135" s="50">
        <f t="shared" si="530"/>
        <v>34895.360000000008</v>
      </c>
      <c r="BM135" s="50">
        <f t="shared" si="530"/>
        <v>11417.76</v>
      </c>
      <c r="BN135" s="50">
        <f t="shared" si="530"/>
        <v>46313.120000000003</v>
      </c>
      <c r="BO135" s="50">
        <f t="shared" si="530"/>
        <v>33923.599999999999</v>
      </c>
      <c r="BP135" s="133">
        <f t="shared" si="530"/>
        <v>11100.96</v>
      </c>
      <c r="BQ135" s="50">
        <f t="shared" si="530"/>
        <v>971.76000000000056</v>
      </c>
      <c r="BR135" s="50">
        <f t="shared" si="530"/>
        <v>316.80000000000058</v>
      </c>
      <c r="BS135" s="50">
        <f t="shared" si="530"/>
        <v>3083.9699999999993</v>
      </c>
      <c r="BT135" s="50">
        <f t="shared" si="530"/>
        <v>1009.18</v>
      </c>
      <c r="BU135" s="50">
        <f t="shared" si="530"/>
        <v>2423.690000000001</v>
      </c>
      <c r="BV135" s="50">
        <f t="shared" si="530"/>
        <v>959.06999999999994</v>
      </c>
      <c r="BW135" s="50">
        <f t="shared" si="530"/>
        <v>932.71</v>
      </c>
      <c r="BX135" s="50">
        <f t="shared" si="530"/>
        <v>969.51</v>
      </c>
      <c r="BY135" s="50">
        <f t="shared" si="530"/>
        <v>20.88</v>
      </c>
      <c r="BZ135" s="50">
        <f t="shared" si="530"/>
        <v>0</v>
      </c>
      <c r="CA135" s="50">
        <f t="shared" si="530"/>
        <v>38251.760000000002</v>
      </c>
      <c r="CB135" s="50">
        <f t="shared" si="530"/>
        <v>13325.460000000001</v>
      </c>
    </row>
    <row r="136" spans="1:80" ht="18" x14ac:dyDescent="0.3">
      <c r="A136" s="18">
        <v>1</v>
      </c>
      <c r="B136" s="18" t="s">
        <v>220</v>
      </c>
      <c r="C136" s="19" t="s">
        <v>45</v>
      </c>
      <c r="D136" s="20" t="s">
        <v>221</v>
      </c>
      <c r="E136" s="21" t="s">
        <v>222</v>
      </c>
      <c r="F136" s="82">
        <v>1733.56</v>
      </c>
      <c r="G136" s="82">
        <v>454.29000000000008</v>
      </c>
      <c r="H136" s="82">
        <v>1583.56</v>
      </c>
      <c r="I136" s="22">
        <v>454.29000000000008</v>
      </c>
      <c r="J136" s="89">
        <v>1400</v>
      </c>
      <c r="K136" s="89">
        <v>0</v>
      </c>
      <c r="L136" s="89">
        <v>0</v>
      </c>
      <c r="M136" s="89">
        <f t="shared" ref="M136:M155" si="531">J136+K136+L136</f>
        <v>1400</v>
      </c>
      <c r="N136" s="89">
        <v>0</v>
      </c>
      <c r="O136" s="89">
        <v>0</v>
      </c>
      <c r="P136" s="89">
        <v>0</v>
      </c>
      <c r="Q136" s="89">
        <f t="shared" ref="Q136:Q138" si="532">N136+O136+P136</f>
        <v>0</v>
      </c>
      <c r="R136" s="89">
        <f t="shared" ref="R136:R155" si="533">+Q136+M136</f>
        <v>1400</v>
      </c>
      <c r="S136" s="89">
        <v>625</v>
      </c>
      <c r="V136" s="22">
        <f t="shared" ref="V136" si="534">ROUND(H136*1.0583,2)</f>
        <v>1675.88</v>
      </c>
      <c r="W136" s="22">
        <f t="shared" ref="W136" si="535">ROUND(I136*1.0327,2)</f>
        <v>469.15</v>
      </c>
      <c r="X136" s="22">
        <f t="shared" si="506"/>
        <v>-275.88000000000011</v>
      </c>
      <c r="Y136" s="22">
        <f t="shared" si="507"/>
        <v>155.85000000000002</v>
      </c>
      <c r="Z136" s="22">
        <v>1400</v>
      </c>
      <c r="AA136" s="22"/>
      <c r="AB136" s="22">
        <f t="shared" si="508"/>
        <v>1400</v>
      </c>
      <c r="AC136" s="111">
        <f t="shared" si="509"/>
        <v>0</v>
      </c>
      <c r="AD136" s="22">
        <f t="shared" ref="AD136:AD138" si="536">IF(X136&gt;0,V136,R136)</f>
        <v>1400</v>
      </c>
      <c r="AE136" s="22">
        <f t="shared" ref="AE136:AE138" si="537">IF(Y136&gt;0,W136,S136)</f>
        <v>469.15</v>
      </c>
      <c r="AF136" s="22">
        <f t="shared" si="510"/>
        <v>563.88</v>
      </c>
      <c r="AG136" s="110">
        <f t="shared" si="511"/>
        <v>350</v>
      </c>
      <c r="AH136" s="110">
        <f t="shared" si="512"/>
        <v>117</v>
      </c>
      <c r="AI136" s="129">
        <f t="shared" si="513"/>
        <v>117</v>
      </c>
      <c r="AJ136" s="110">
        <f t="shared" si="514"/>
        <v>39</v>
      </c>
      <c r="AM136" s="110">
        <f t="shared" si="515"/>
        <v>350</v>
      </c>
      <c r="AN136" s="110">
        <f t="shared" si="516"/>
        <v>114.24</v>
      </c>
      <c r="AQ136" s="110">
        <f t="shared" si="517"/>
        <v>700</v>
      </c>
      <c r="AR136" s="110">
        <f t="shared" si="518"/>
        <v>231.24</v>
      </c>
      <c r="AU136" s="110">
        <f t="shared" si="401"/>
        <v>350</v>
      </c>
      <c r="AV136" s="110">
        <f t="shared" si="525"/>
        <v>117.29</v>
      </c>
      <c r="AY136" s="110">
        <f t="shared" si="499"/>
        <v>1167</v>
      </c>
      <c r="AZ136" s="110">
        <f t="shared" si="500"/>
        <v>387.53000000000003</v>
      </c>
      <c r="BA136" s="110">
        <f t="shared" si="501"/>
        <v>1554.53</v>
      </c>
      <c r="BB136" s="142">
        <v>1094.75</v>
      </c>
      <c r="BC136" s="142">
        <v>370.51</v>
      </c>
      <c r="BD136" s="142">
        <f t="shared" si="502"/>
        <v>72.25</v>
      </c>
      <c r="BE136" s="142">
        <f t="shared" si="503"/>
        <v>17.020000000000039</v>
      </c>
      <c r="BF136" s="142">
        <f t="shared" si="504"/>
        <v>218.95</v>
      </c>
      <c r="BG136" s="142">
        <f t="shared" si="505"/>
        <v>74.099999999999994</v>
      </c>
      <c r="BH136" s="110">
        <v>49</v>
      </c>
      <c r="BI136" s="110">
        <v>22.5</v>
      </c>
      <c r="BJ136" s="110">
        <v>20</v>
      </c>
      <c r="BL136" s="110">
        <f t="shared" si="526"/>
        <v>1236</v>
      </c>
      <c r="BM136" s="110">
        <f t="shared" ref="BM136:BM197" si="538">+BI136+AZ136+BK136</f>
        <v>410.03000000000003</v>
      </c>
      <c r="BN136" s="110">
        <f t="shared" ref="BN136:BN197" si="539">BL136+BM136</f>
        <v>1646.03</v>
      </c>
      <c r="BO136" s="110">
        <v>1202.08</v>
      </c>
      <c r="BP136" s="129">
        <v>404.23</v>
      </c>
      <c r="BQ136" s="110">
        <f t="shared" ref="BQ136:BQ197" si="540">BL136-BO136</f>
        <v>33.920000000000073</v>
      </c>
      <c r="BR136" s="110">
        <f t="shared" ref="BR136:BR197" si="541">BM136-BP136</f>
        <v>5.8000000000000114</v>
      </c>
      <c r="BS136" s="110">
        <f t="shared" ref="BS136:BS197" si="542">ROUND(BO136/11,2)</f>
        <v>109.28</v>
      </c>
      <c r="BT136" s="110">
        <f t="shared" ref="BT136:BT197" si="543">ROUND(BP136/11,2)</f>
        <v>36.75</v>
      </c>
      <c r="BU136" s="110">
        <v>75.36</v>
      </c>
      <c r="BV136" s="146">
        <v>140</v>
      </c>
      <c r="BW136" s="146"/>
      <c r="BX136" s="146"/>
      <c r="BY136" s="146"/>
      <c r="BZ136" s="146"/>
      <c r="CA136" s="110">
        <f t="shared" ref="CA136:CA197" si="544">+BL136+BU136+BW136</f>
        <v>1311.36</v>
      </c>
      <c r="CB136" s="110">
        <f t="shared" ref="CB136:CB197" si="545">+BM136+BV136+BX136</f>
        <v>550.03</v>
      </c>
    </row>
    <row r="137" spans="1:80" ht="18" x14ac:dyDescent="0.3">
      <c r="A137" s="13">
        <v>2</v>
      </c>
      <c r="B137" s="13"/>
      <c r="C137" s="14"/>
      <c r="D137" s="15" t="s">
        <v>223</v>
      </c>
      <c r="E137" s="16"/>
      <c r="F137" s="82">
        <v>2084.08</v>
      </c>
      <c r="G137" s="82">
        <v>179.38000000000002</v>
      </c>
      <c r="H137" s="82">
        <v>2084.08</v>
      </c>
      <c r="I137" s="17">
        <v>179.38000000000002</v>
      </c>
      <c r="J137" s="87">
        <v>1850</v>
      </c>
      <c r="K137" s="88">
        <v>430</v>
      </c>
      <c r="L137" s="88">
        <v>0</v>
      </c>
      <c r="M137" s="88">
        <f t="shared" si="531"/>
        <v>2280</v>
      </c>
      <c r="N137" s="88">
        <v>0</v>
      </c>
      <c r="O137" s="88">
        <v>0</v>
      </c>
      <c r="P137" s="88">
        <v>0</v>
      </c>
      <c r="Q137" s="88">
        <f t="shared" si="532"/>
        <v>0</v>
      </c>
      <c r="R137" s="88">
        <f t="shared" si="533"/>
        <v>2280</v>
      </c>
      <c r="S137" s="88">
        <v>325</v>
      </c>
      <c r="V137" s="17">
        <f t="shared" ref="V137" si="546">ROUND(H137*1.0583,2)</f>
        <v>2205.58</v>
      </c>
      <c r="W137" s="17">
        <f t="shared" ref="W137" si="547">ROUND(I137*1.0327,2)</f>
        <v>185.25</v>
      </c>
      <c r="X137" s="110">
        <f t="shared" si="506"/>
        <v>74.420000000000073</v>
      </c>
      <c r="Y137" s="110">
        <f t="shared" si="507"/>
        <v>139.75</v>
      </c>
      <c r="Z137" s="110">
        <v>2205.58</v>
      </c>
      <c r="AA137" s="110"/>
      <c r="AB137" s="110">
        <f t="shared" si="508"/>
        <v>2205.58</v>
      </c>
      <c r="AC137" s="111">
        <f t="shared" si="509"/>
        <v>0</v>
      </c>
      <c r="AD137" s="110">
        <f t="shared" si="536"/>
        <v>2205.58</v>
      </c>
      <c r="AE137" s="110">
        <f t="shared" si="537"/>
        <v>185.25</v>
      </c>
      <c r="AF137" s="110">
        <f t="shared" si="510"/>
        <v>293.22000000000003</v>
      </c>
      <c r="AG137" s="110">
        <f t="shared" si="511"/>
        <v>551</v>
      </c>
      <c r="AH137" s="110">
        <f>ROUND(AE137/4,0)+14</f>
        <v>60</v>
      </c>
      <c r="AI137" s="129">
        <f t="shared" si="513"/>
        <v>184</v>
      </c>
      <c r="AJ137" s="110">
        <f t="shared" si="514"/>
        <v>15</v>
      </c>
      <c r="AM137" s="110">
        <f t="shared" si="515"/>
        <v>551.4</v>
      </c>
      <c r="AN137" s="110">
        <f>ROUND(AE137*24.35%,2)+4.89</f>
        <v>50</v>
      </c>
      <c r="AQ137" s="110">
        <f t="shared" si="517"/>
        <v>1102.4000000000001</v>
      </c>
      <c r="AR137" s="110">
        <f t="shared" si="518"/>
        <v>110</v>
      </c>
      <c r="AU137" s="110">
        <f t="shared" si="401"/>
        <v>551.4</v>
      </c>
      <c r="AV137" s="118">
        <f>ROUND(AE137*25%,2)+10</f>
        <v>56.31</v>
      </c>
      <c r="AW137" s="118"/>
      <c r="AX137" s="146">
        <v>16.71</v>
      </c>
      <c r="AY137" s="110">
        <f t="shared" si="499"/>
        <v>1837.8000000000002</v>
      </c>
      <c r="AZ137" s="110">
        <f t="shared" si="500"/>
        <v>198.02</v>
      </c>
      <c r="BA137" s="110">
        <f t="shared" si="501"/>
        <v>2035.8200000000002</v>
      </c>
      <c r="BB137" s="142">
        <v>1757.17</v>
      </c>
      <c r="BC137" s="142">
        <v>179.47</v>
      </c>
      <c r="BD137" s="142">
        <f t="shared" si="502"/>
        <v>80.630000000000109</v>
      </c>
      <c r="BE137" s="142">
        <f t="shared" si="503"/>
        <v>18.550000000000011</v>
      </c>
      <c r="BF137" s="142">
        <f t="shared" si="504"/>
        <v>351.43</v>
      </c>
      <c r="BG137" s="142">
        <f t="shared" si="505"/>
        <v>35.89</v>
      </c>
      <c r="BH137" s="146">
        <v>117.5</v>
      </c>
      <c r="BI137" s="146">
        <v>42.5</v>
      </c>
      <c r="BJ137" s="146"/>
      <c r="BK137" s="146"/>
      <c r="BL137" s="110">
        <f t="shared" si="526"/>
        <v>1955.3000000000002</v>
      </c>
      <c r="BM137" s="110">
        <f t="shared" si="538"/>
        <v>240.52</v>
      </c>
      <c r="BN137" s="110">
        <f t="shared" si="539"/>
        <v>2195.8200000000002</v>
      </c>
      <c r="BO137" s="110">
        <v>1924.37</v>
      </c>
      <c r="BP137" s="129">
        <v>225.43</v>
      </c>
      <c r="BQ137" s="110">
        <f t="shared" si="540"/>
        <v>30.930000000000291</v>
      </c>
      <c r="BR137" s="110">
        <f t="shared" si="541"/>
        <v>15.090000000000003</v>
      </c>
      <c r="BS137" s="110">
        <f t="shared" si="542"/>
        <v>174.94</v>
      </c>
      <c r="BT137" s="110">
        <f t="shared" si="543"/>
        <v>20.49</v>
      </c>
      <c r="BU137" s="146">
        <v>117.5</v>
      </c>
      <c r="BV137" s="146">
        <v>20</v>
      </c>
      <c r="BW137" s="146"/>
      <c r="BX137" s="146">
        <v>22.5</v>
      </c>
      <c r="BY137" s="146"/>
      <c r="BZ137" s="146"/>
      <c r="CA137" s="110">
        <f t="shared" si="544"/>
        <v>2072.8000000000002</v>
      </c>
      <c r="CB137" s="110">
        <f t="shared" si="545"/>
        <v>283.02</v>
      </c>
    </row>
    <row r="138" spans="1:80" ht="18" x14ac:dyDescent="0.3">
      <c r="A138" s="13">
        <v>3</v>
      </c>
      <c r="B138" s="13"/>
      <c r="C138" s="14"/>
      <c r="D138" s="15" t="s">
        <v>224</v>
      </c>
      <c r="E138" s="16"/>
      <c r="F138" s="82">
        <v>52.110000000000007</v>
      </c>
      <c r="G138" s="82">
        <v>0</v>
      </c>
      <c r="H138" s="82">
        <v>52.110000000000007</v>
      </c>
      <c r="I138" s="17">
        <v>0</v>
      </c>
      <c r="J138" s="87">
        <v>72</v>
      </c>
      <c r="K138" s="88">
        <v>0</v>
      </c>
      <c r="L138" s="88">
        <v>0</v>
      </c>
      <c r="M138" s="88">
        <f t="shared" si="531"/>
        <v>72</v>
      </c>
      <c r="N138" s="88">
        <v>0</v>
      </c>
      <c r="O138" s="88">
        <v>0</v>
      </c>
      <c r="P138" s="88">
        <v>0</v>
      </c>
      <c r="Q138" s="88">
        <f t="shared" si="532"/>
        <v>0</v>
      </c>
      <c r="R138" s="88">
        <f t="shared" si="533"/>
        <v>72</v>
      </c>
      <c r="S138" s="88">
        <v>0</v>
      </c>
      <c r="V138" s="17">
        <f t="shared" ref="V138" si="548">ROUND(H138*1.0583,2)</f>
        <v>55.15</v>
      </c>
      <c r="W138" s="17">
        <f t="shared" ref="W138" si="549">ROUND(I138*1.0327,2)</f>
        <v>0</v>
      </c>
      <c r="X138" s="110">
        <f t="shared" si="506"/>
        <v>16.850000000000001</v>
      </c>
      <c r="Y138" s="110">
        <f t="shared" si="507"/>
        <v>0</v>
      </c>
      <c r="Z138" s="110">
        <v>55.15</v>
      </c>
      <c r="AA138" s="110"/>
      <c r="AB138" s="110">
        <f t="shared" si="508"/>
        <v>55.15</v>
      </c>
      <c r="AC138" s="111">
        <f t="shared" si="509"/>
        <v>0</v>
      </c>
      <c r="AD138" s="110">
        <f t="shared" si="536"/>
        <v>55.15</v>
      </c>
      <c r="AE138" s="110">
        <f t="shared" si="537"/>
        <v>0</v>
      </c>
      <c r="AF138" s="110">
        <f t="shared" si="510"/>
        <v>0</v>
      </c>
      <c r="AG138" s="110">
        <f t="shared" si="511"/>
        <v>14</v>
      </c>
      <c r="AH138" s="110">
        <f t="shared" si="512"/>
        <v>0</v>
      </c>
      <c r="AI138" s="129">
        <f t="shared" si="513"/>
        <v>5</v>
      </c>
      <c r="AJ138" s="110">
        <f t="shared" si="514"/>
        <v>0</v>
      </c>
      <c r="AM138" s="110">
        <f t="shared" si="515"/>
        <v>13.79</v>
      </c>
      <c r="AN138" s="110">
        <f t="shared" si="516"/>
        <v>0</v>
      </c>
      <c r="AQ138" s="110">
        <f t="shared" si="517"/>
        <v>27.79</v>
      </c>
      <c r="AR138" s="110">
        <f t="shared" si="518"/>
        <v>0</v>
      </c>
      <c r="AU138" s="110">
        <f t="shared" si="401"/>
        <v>13.79</v>
      </c>
      <c r="AV138" s="110">
        <f t="shared" si="525"/>
        <v>0</v>
      </c>
      <c r="AY138" s="110">
        <f t="shared" si="499"/>
        <v>46.58</v>
      </c>
      <c r="AZ138" s="110">
        <f t="shared" si="500"/>
        <v>0</v>
      </c>
      <c r="BA138" s="110">
        <f t="shared" si="501"/>
        <v>46.58</v>
      </c>
      <c r="BB138" s="142">
        <v>30</v>
      </c>
      <c r="BD138" s="142">
        <f t="shared" si="502"/>
        <v>16.579999999999998</v>
      </c>
      <c r="BE138" s="142">
        <f t="shared" si="503"/>
        <v>0</v>
      </c>
      <c r="BF138" s="142">
        <f t="shared" si="504"/>
        <v>6</v>
      </c>
      <c r="BG138" s="142">
        <f t="shared" si="505"/>
        <v>0</v>
      </c>
      <c r="BH138" s="146">
        <v>0.79</v>
      </c>
      <c r="BI138" s="146">
        <v>0</v>
      </c>
      <c r="BJ138" s="146"/>
      <c r="BK138" s="146"/>
      <c r="BL138" s="110">
        <f t="shared" si="526"/>
        <v>47.37</v>
      </c>
      <c r="BM138" s="110">
        <f t="shared" si="538"/>
        <v>0</v>
      </c>
      <c r="BN138" s="110">
        <f t="shared" si="539"/>
        <v>47.37</v>
      </c>
      <c r="BO138" s="110">
        <v>30</v>
      </c>
      <c r="BP138" s="129"/>
      <c r="BQ138" s="110">
        <f t="shared" si="540"/>
        <v>17.369999999999997</v>
      </c>
      <c r="BR138" s="110">
        <f t="shared" si="541"/>
        <v>0</v>
      </c>
      <c r="BS138" s="110">
        <f t="shared" si="542"/>
        <v>2.73</v>
      </c>
      <c r="BT138" s="110">
        <f t="shared" si="543"/>
        <v>0</v>
      </c>
      <c r="BU138" s="146">
        <v>0.78</v>
      </c>
      <c r="BV138" s="110">
        <v>0</v>
      </c>
      <c r="CA138" s="110">
        <f t="shared" si="544"/>
        <v>48.15</v>
      </c>
      <c r="CB138" s="110">
        <f t="shared" si="545"/>
        <v>0</v>
      </c>
    </row>
    <row r="139" spans="1:80" ht="18" x14ac:dyDescent="0.3">
      <c r="A139" s="18"/>
      <c r="B139" s="18" t="s">
        <v>225</v>
      </c>
      <c r="C139" s="19" t="s">
        <v>118</v>
      </c>
      <c r="D139" s="20" t="s">
        <v>223</v>
      </c>
      <c r="E139" s="21" t="s">
        <v>226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9">
        <f t="shared" ref="J139:AA139" si="550">+J137+J138</f>
        <v>1922</v>
      </c>
      <c r="K139" s="89">
        <f t="shared" si="550"/>
        <v>430</v>
      </c>
      <c r="L139" s="89">
        <f t="shared" si="550"/>
        <v>0</v>
      </c>
      <c r="M139" s="89">
        <f t="shared" si="550"/>
        <v>2352</v>
      </c>
      <c r="N139" s="89">
        <f t="shared" si="550"/>
        <v>0</v>
      </c>
      <c r="O139" s="89">
        <f t="shared" si="550"/>
        <v>0</v>
      </c>
      <c r="P139" s="89">
        <f t="shared" si="550"/>
        <v>0</v>
      </c>
      <c r="Q139" s="89">
        <f t="shared" si="550"/>
        <v>0</v>
      </c>
      <c r="R139" s="89">
        <f t="shared" si="550"/>
        <v>2352</v>
      </c>
      <c r="S139" s="89">
        <f t="shared" si="550"/>
        <v>325</v>
      </c>
      <c r="T139" s="89">
        <f t="shared" si="550"/>
        <v>0</v>
      </c>
      <c r="U139" s="89">
        <f t="shared" si="550"/>
        <v>0</v>
      </c>
      <c r="V139" s="89">
        <f t="shared" si="550"/>
        <v>2260.73</v>
      </c>
      <c r="W139" s="89">
        <f t="shared" si="550"/>
        <v>185.25</v>
      </c>
      <c r="X139" s="89">
        <f t="shared" si="550"/>
        <v>91.270000000000067</v>
      </c>
      <c r="Y139" s="89">
        <f t="shared" si="550"/>
        <v>139.75</v>
      </c>
      <c r="Z139" s="89">
        <f t="shared" si="550"/>
        <v>2260.73</v>
      </c>
      <c r="AA139" s="89">
        <f t="shared" si="550"/>
        <v>0</v>
      </c>
      <c r="AB139" s="22">
        <f t="shared" si="508"/>
        <v>2260.73</v>
      </c>
      <c r="AC139" s="111">
        <f t="shared" si="509"/>
        <v>0</v>
      </c>
      <c r="AD139" s="22">
        <f t="shared" ref="AD139:CB139" si="551">+AD137+AD138</f>
        <v>2260.73</v>
      </c>
      <c r="AE139" s="22">
        <f t="shared" si="551"/>
        <v>185.25</v>
      </c>
      <c r="AF139" s="22">
        <f t="shared" si="551"/>
        <v>293.22000000000003</v>
      </c>
      <c r="AG139" s="22">
        <f t="shared" si="551"/>
        <v>565</v>
      </c>
      <c r="AH139" s="22">
        <f t="shared" si="551"/>
        <v>60</v>
      </c>
      <c r="AI139" s="120">
        <f t="shared" si="551"/>
        <v>189</v>
      </c>
      <c r="AJ139" s="22">
        <f t="shared" si="551"/>
        <v>15</v>
      </c>
      <c r="AK139" s="22">
        <f t="shared" si="551"/>
        <v>0</v>
      </c>
      <c r="AL139" s="22">
        <f t="shared" si="551"/>
        <v>0</v>
      </c>
      <c r="AM139" s="22">
        <f t="shared" si="551"/>
        <v>565.18999999999994</v>
      </c>
      <c r="AN139" s="22">
        <f t="shared" si="551"/>
        <v>50</v>
      </c>
      <c r="AO139" s="22">
        <f t="shared" si="551"/>
        <v>0</v>
      </c>
      <c r="AP139" s="22">
        <f t="shared" si="551"/>
        <v>0</v>
      </c>
      <c r="AQ139" s="22">
        <f t="shared" si="551"/>
        <v>1130.19</v>
      </c>
      <c r="AR139" s="22">
        <f t="shared" si="551"/>
        <v>110</v>
      </c>
      <c r="AS139" s="22">
        <f t="shared" si="551"/>
        <v>0</v>
      </c>
      <c r="AT139" s="22">
        <f t="shared" si="551"/>
        <v>0</v>
      </c>
      <c r="AU139" s="22">
        <f t="shared" si="551"/>
        <v>565.18999999999994</v>
      </c>
      <c r="AV139" s="22">
        <f t="shared" si="551"/>
        <v>56.31</v>
      </c>
      <c r="AW139" s="22">
        <f t="shared" si="551"/>
        <v>0</v>
      </c>
      <c r="AX139" s="22">
        <f t="shared" si="551"/>
        <v>16.71</v>
      </c>
      <c r="AY139" s="22">
        <f t="shared" si="551"/>
        <v>1884.38</v>
      </c>
      <c r="AZ139" s="22">
        <f t="shared" si="551"/>
        <v>198.02</v>
      </c>
      <c r="BA139" s="22">
        <f t="shared" si="551"/>
        <v>2082.4</v>
      </c>
      <c r="BB139" s="22">
        <f t="shared" si="551"/>
        <v>1787.17</v>
      </c>
      <c r="BC139" s="22">
        <f t="shared" si="551"/>
        <v>179.47</v>
      </c>
      <c r="BD139" s="22">
        <f t="shared" si="551"/>
        <v>97.210000000000107</v>
      </c>
      <c r="BE139" s="22">
        <f t="shared" si="551"/>
        <v>18.550000000000011</v>
      </c>
      <c r="BF139" s="22">
        <f t="shared" si="551"/>
        <v>357.43</v>
      </c>
      <c r="BG139" s="120">
        <f t="shared" si="551"/>
        <v>35.89</v>
      </c>
      <c r="BH139" s="120">
        <f t="shared" si="551"/>
        <v>118.29</v>
      </c>
      <c r="BI139" s="120">
        <f t="shared" si="551"/>
        <v>42.5</v>
      </c>
      <c r="BJ139" s="120">
        <f t="shared" si="551"/>
        <v>0</v>
      </c>
      <c r="BK139" s="120">
        <f t="shared" si="551"/>
        <v>0</v>
      </c>
      <c r="BL139" s="120">
        <f t="shared" si="551"/>
        <v>2002.67</v>
      </c>
      <c r="BM139" s="120">
        <f t="shared" si="551"/>
        <v>240.52</v>
      </c>
      <c r="BN139" s="120">
        <f t="shared" si="551"/>
        <v>2243.19</v>
      </c>
      <c r="BO139" s="120">
        <f t="shared" si="551"/>
        <v>1954.37</v>
      </c>
      <c r="BP139" s="120">
        <f t="shared" si="551"/>
        <v>225.43</v>
      </c>
      <c r="BQ139" s="22">
        <f t="shared" si="551"/>
        <v>48.300000000000288</v>
      </c>
      <c r="BR139" s="22">
        <f t="shared" si="551"/>
        <v>15.090000000000003</v>
      </c>
      <c r="BS139" s="22">
        <f t="shared" si="551"/>
        <v>177.67</v>
      </c>
      <c r="BT139" s="22">
        <f t="shared" si="551"/>
        <v>20.49</v>
      </c>
      <c r="BU139" s="22">
        <f t="shared" si="551"/>
        <v>118.28</v>
      </c>
      <c r="BV139" s="22">
        <f t="shared" si="551"/>
        <v>20</v>
      </c>
      <c r="BW139" s="22">
        <f t="shared" si="551"/>
        <v>0</v>
      </c>
      <c r="BX139" s="22">
        <f t="shared" si="551"/>
        <v>22.5</v>
      </c>
      <c r="BY139" s="22">
        <f t="shared" si="551"/>
        <v>0</v>
      </c>
      <c r="BZ139" s="22">
        <f t="shared" si="551"/>
        <v>0</v>
      </c>
      <c r="CA139" s="22">
        <f t="shared" si="551"/>
        <v>2120.9500000000003</v>
      </c>
      <c r="CB139" s="22">
        <f t="shared" si="551"/>
        <v>283.02</v>
      </c>
    </row>
    <row r="140" spans="1:80" ht="18" x14ac:dyDescent="0.3">
      <c r="A140" s="13">
        <v>4</v>
      </c>
      <c r="B140" s="13"/>
      <c r="C140" s="14"/>
      <c r="D140" s="15" t="s">
        <v>227</v>
      </c>
      <c r="E140" s="16"/>
      <c r="F140" s="82">
        <v>2025.0000000000005</v>
      </c>
      <c r="G140" s="82">
        <v>742</v>
      </c>
      <c r="H140" s="82">
        <v>2025.0000000000005</v>
      </c>
      <c r="I140" s="17">
        <v>742</v>
      </c>
      <c r="J140" s="87">
        <v>2250</v>
      </c>
      <c r="K140" s="88">
        <v>500</v>
      </c>
      <c r="L140" s="88">
        <v>0.2</v>
      </c>
      <c r="M140" s="88">
        <f t="shared" si="531"/>
        <v>2750.2</v>
      </c>
      <c r="N140" s="88">
        <v>0</v>
      </c>
      <c r="O140" s="88">
        <v>0</v>
      </c>
      <c r="P140" s="88">
        <v>0</v>
      </c>
      <c r="Q140" s="88">
        <f t="shared" ref="Q140:Q141" si="552">N140+O140+P140</f>
        <v>0</v>
      </c>
      <c r="R140" s="88">
        <f t="shared" si="533"/>
        <v>2750.2</v>
      </c>
      <c r="S140" s="88">
        <v>750</v>
      </c>
      <c r="V140" s="17">
        <f t="shared" ref="V140:V141" si="553">ROUND(H140*1.0583,2)</f>
        <v>2143.06</v>
      </c>
      <c r="W140" s="17">
        <f t="shared" ref="W140:W141" si="554">ROUND(I140*1.0327,2)</f>
        <v>766.26</v>
      </c>
      <c r="X140" s="110">
        <f t="shared" si="506"/>
        <v>607.13999999999987</v>
      </c>
      <c r="Y140" s="110">
        <f t="shared" si="507"/>
        <v>-16.259999999999991</v>
      </c>
      <c r="Z140" s="110">
        <v>2143.06</v>
      </c>
      <c r="AA140" s="110"/>
      <c r="AB140" s="110">
        <f t="shared" si="508"/>
        <v>2143.06</v>
      </c>
      <c r="AC140" s="111">
        <f t="shared" si="509"/>
        <v>0</v>
      </c>
      <c r="AD140" s="110">
        <f t="shared" ref="AD140:AD141" si="555">IF(X140&gt;0,V140,R140)</f>
        <v>2143.06</v>
      </c>
      <c r="AE140" s="110">
        <f t="shared" ref="AE140:AE141" si="556">IF(Y140&gt;0,W140,S140)</f>
        <v>750</v>
      </c>
      <c r="AF140" s="110">
        <f t="shared" si="510"/>
        <v>676.65</v>
      </c>
      <c r="AG140" s="110">
        <f t="shared" si="511"/>
        <v>536</v>
      </c>
      <c r="AH140" s="110">
        <f t="shared" si="512"/>
        <v>188</v>
      </c>
      <c r="AI140" s="129">
        <f t="shared" si="513"/>
        <v>179</v>
      </c>
      <c r="AJ140" s="110">
        <f t="shared" si="514"/>
        <v>63</v>
      </c>
      <c r="AM140" s="110">
        <f t="shared" si="515"/>
        <v>535.77</v>
      </c>
      <c r="AN140" s="110">
        <f t="shared" si="516"/>
        <v>182.63</v>
      </c>
      <c r="AQ140" s="110">
        <f t="shared" si="517"/>
        <v>1071.77</v>
      </c>
      <c r="AR140" s="110">
        <f t="shared" si="518"/>
        <v>370.63</v>
      </c>
      <c r="AU140" s="110">
        <f t="shared" si="401"/>
        <v>535.77</v>
      </c>
      <c r="AV140" s="110">
        <f t="shared" si="525"/>
        <v>187.5</v>
      </c>
      <c r="AY140" s="110">
        <f t="shared" si="499"/>
        <v>1786.54</v>
      </c>
      <c r="AZ140" s="110">
        <f t="shared" si="500"/>
        <v>621.13</v>
      </c>
      <c r="BA140" s="110">
        <f t="shared" si="501"/>
        <v>2407.67</v>
      </c>
      <c r="BB140" s="142">
        <v>1639.04</v>
      </c>
      <c r="BC140" s="142">
        <v>439.03</v>
      </c>
      <c r="BD140" s="142">
        <f t="shared" si="502"/>
        <v>147.5</v>
      </c>
      <c r="BE140" s="142">
        <f t="shared" si="503"/>
        <v>182.10000000000002</v>
      </c>
      <c r="BF140" s="142">
        <f t="shared" si="504"/>
        <v>327.81</v>
      </c>
      <c r="BG140" s="142">
        <f t="shared" si="505"/>
        <v>87.81</v>
      </c>
      <c r="BH140" s="110">
        <v>90.16</v>
      </c>
      <c r="BI140" s="110">
        <v>0</v>
      </c>
      <c r="BL140" s="110">
        <f t="shared" si="526"/>
        <v>1876.7</v>
      </c>
      <c r="BM140" s="110">
        <f t="shared" si="538"/>
        <v>621.13</v>
      </c>
      <c r="BN140" s="110">
        <f t="shared" si="539"/>
        <v>2497.83</v>
      </c>
      <c r="BO140" s="110">
        <v>1812.14</v>
      </c>
      <c r="BP140" s="129">
        <v>493.28</v>
      </c>
      <c r="BQ140" s="110">
        <f t="shared" si="540"/>
        <v>64.559999999999945</v>
      </c>
      <c r="BR140" s="110">
        <f t="shared" si="541"/>
        <v>127.85000000000002</v>
      </c>
      <c r="BS140" s="110">
        <f t="shared" si="542"/>
        <v>164.74</v>
      </c>
      <c r="BT140" s="110">
        <f t="shared" si="543"/>
        <v>44.84</v>
      </c>
      <c r="BU140" s="110">
        <f t="shared" ref="BU140:BU144" si="557">ROUND(BS140-BQ140,2)</f>
        <v>100.18</v>
      </c>
      <c r="BV140" s="110">
        <v>0</v>
      </c>
      <c r="BW140" s="111">
        <v>25</v>
      </c>
      <c r="BX140" s="110">
        <f>60+10</f>
        <v>70</v>
      </c>
      <c r="CA140" s="110">
        <f t="shared" si="544"/>
        <v>2001.88</v>
      </c>
      <c r="CB140" s="110">
        <f t="shared" si="545"/>
        <v>691.13</v>
      </c>
    </row>
    <row r="141" spans="1:80" ht="18" x14ac:dyDescent="0.3">
      <c r="A141" s="13">
        <v>5</v>
      </c>
      <c r="B141" s="13"/>
      <c r="C141" s="14"/>
      <c r="D141" s="15" t="s">
        <v>228</v>
      </c>
      <c r="E141" s="16"/>
      <c r="F141" s="82">
        <v>0</v>
      </c>
      <c r="G141" s="82">
        <v>0</v>
      </c>
      <c r="H141" s="82">
        <v>0</v>
      </c>
      <c r="I141" s="17">
        <v>0</v>
      </c>
      <c r="J141" s="87">
        <v>0</v>
      </c>
      <c r="K141" s="88">
        <v>0</v>
      </c>
      <c r="L141" s="88">
        <v>0</v>
      </c>
      <c r="M141" s="88">
        <f t="shared" si="531"/>
        <v>0</v>
      </c>
      <c r="N141" s="88">
        <v>0</v>
      </c>
      <c r="O141" s="88">
        <v>0</v>
      </c>
      <c r="P141" s="88">
        <v>0</v>
      </c>
      <c r="Q141" s="88">
        <f t="shared" si="552"/>
        <v>0</v>
      </c>
      <c r="R141" s="88">
        <f t="shared" si="533"/>
        <v>0</v>
      </c>
      <c r="S141" s="88">
        <v>0</v>
      </c>
      <c r="V141" s="17">
        <f t="shared" si="553"/>
        <v>0</v>
      </c>
      <c r="W141" s="17">
        <f t="shared" si="554"/>
        <v>0</v>
      </c>
      <c r="X141" s="110">
        <f t="shared" si="506"/>
        <v>0</v>
      </c>
      <c r="Y141" s="110">
        <f t="shared" si="507"/>
        <v>0</v>
      </c>
      <c r="Z141" s="110">
        <v>0</v>
      </c>
      <c r="AA141" s="110"/>
      <c r="AB141" s="110">
        <f t="shared" si="508"/>
        <v>0</v>
      </c>
      <c r="AC141" s="111">
        <f t="shared" si="509"/>
        <v>0</v>
      </c>
      <c r="AD141" s="110">
        <f t="shared" si="555"/>
        <v>0</v>
      </c>
      <c r="AE141" s="110">
        <f t="shared" si="556"/>
        <v>0</v>
      </c>
      <c r="AF141" s="110">
        <f t="shared" si="510"/>
        <v>0</v>
      </c>
      <c r="AG141" s="110">
        <f t="shared" si="511"/>
        <v>0</v>
      </c>
      <c r="AH141" s="110">
        <f t="shared" si="512"/>
        <v>0</v>
      </c>
      <c r="AI141" s="129">
        <f t="shared" si="513"/>
        <v>0</v>
      </c>
      <c r="AJ141" s="110">
        <f t="shared" si="514"/>
        <v>0</v>
      </c>
      <c r="AM141" s="110">
        <f t="shared" si="515"/>
        <v>0</v>
      </c>
      <c r="AN141" s="110">
        <f t="shared" si="516"/>
        <v>0</v>
      </c>
      <c r="AQ141" s="110">
        <f t="shared" si="517"/>
        <v>0</v>
      </c>
      <c r="AR141" s="110">
        <f t="shared" si="518"/>
        <v>0</v>
      </c>
      <c r="AU141" s="110">
        <f t="shared" si="401"/>
        <v>0</v>
      </c>
      <c r="AV141" s="110">
        <f t="shared" si="525"/>
        <v>0</v>
      </c>
      <c r="AY141" s="110">
        <f t="shared" si="499"/>
        <v>0</v>
      </c>
      <c r="AZ141" s="110">
        <f t="shared" si="500"/>
        <v>0</v>
      </c>
      <c r="BA141" s="110">
        <f t="shared" si="501"/>
        <v>0</v>
      </c>
      <c r="BB141" s="142">
        <v>0</v>
      </c>
      <c r="BD141" s="142">
        <f t="shared" si="502"/>
        <v>0</v>
      </c>
      <c r="BE141" s="142">
        <f t="shared" si="503"/>
        <v>0</v>
      </c>
      <c r="BF141" s="142">
        <f t="shared" si="504"/>
        <v>0</v>
      </c>
      <c r="BG141" s="142">
        <f t="shared" si="505"/>
        <v>0</v>
      </c>
      <c r="BH141" s="110">
        <v>0</v>
      </c>
      <c r="BI141" s="110">
        <v>0</v>
      </c>
      <c r="BL141" s="110">
        <f t="shared" si="526"/>
        <v>0</v>
      </c>
      <c r="BM141" s="110">
        <f t="shared" si="538"/>
        <v>0</v>
      </c>
      <c r="BN141" s="110">
        <f t="shared" si="539"/>
        <v>0</v>
      </c>
      <c r="BO141" s="110">
        <v>0</v>
      </c>
      <c r="BP141" s="129"/>
      <c r="BQ141" s="110">
        <f t="shared" si="540"/>
        <v>0</v>
      </c>
      <c r="BR141" s="110">
        <f t="shared" si="541"/>
        <v>0</v>
      </c>
      <c r="BS141" s="110">
        <f t="shared" si="542"/>
        <v>0</v>
      </c>
      <c r="BT141" s="110">
        <f t="shared" si="543"/>
        <v>0</v>
      </c>
      <c r="BU141" s="110">
        <f t="shared" si="557"/>
        <v>0</v>
      </c>
      <c r="BV141" s="110">
        <v>0</v>
      </c>
      <c r="CA141" s="110">
        <f t="shared" si="544"/>
        <v>0</v>
      </c>
      <c r="CB141" s="110">
        <f t="shared" si="545"/>
        <v>0</v>
      </c>
    </row>
    <row r="142" spans="1:80" ht="18" x14ac:dyDescent="0.3">
      <c r="A142" s="18"/>
      <c r="B142" s="18" t="s">
        <v>229</v>
      </c>
      <c r="C142" s="19" t="s">
        <v>45</v>
      </c>
      <c r="D142" s="20" t="s">
        <v>227</v>
      </c>
      <c r="E142" s="21" t="s">
        <v>230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9">
        <f t="shared" ref="J142:AA142" si="558">+J140+J141</f>
        <v>2250</v>
      </c>
      <c r="K142" s="89">
        <f t="shared" si="558"/>
        <v>500</v>
      </c>
      <c r="L142" s="89">
        <f t="shared" si="558"/>
        <v>0.2</v>
      </c>
      <c r="M142" s="89">
        <f t="shared" si="558"/>
        <v>2750.2</v>
      </c>
      <c r="N142" s="89">
        <f t="shared" si="558"/>
        <v>0</v>
      </c>
      <c r="O142" s="89">
        <f t="shared" si="558"/>
        <v>0</v>
      </c>
      <c r="P142" s="89">
        <f t="shared" si="558"/>
        <v>0</v>
      </c>
      <c r="Q142" s="89">
        <f t="shared" si="558"/>
        <v>0</v>
      </c>
      <c r="R142" s="89">
        <f t="shared" si="558"/>
        <v>2750.2</v>
      </c>
      <c r="S142" s="89">
        <f t="shared" si="558"/>
        <v>750</v>
      </c>
      <c r="T142" s="89">
        <f t="shared" si="558"/>
        <v>0</v>
      </c>
      <c r="U142" s="89">
        <f t="shared" si="558"/>
        <v>0</v>
      </c>
      <c r="V142" s="89">
        <f t="shared" si="558"/>
        <v>2143.06</v>
      </c>
      <c r="W142" s="89">
        <f t="shared" si="558"/>
        <v>766.26</v>
      </c>
      <c r="X142" s="89">
        <f t="shared" si="558"/>
        <v>607.13999999999987</v>
      </c>
      <c r="Y142" s="89">
        <f t="shared" si="558"/>
        <v>-16.259999999999991</v>
      </c>
      <c r="Z142" s="89">
        <f t="shared" si="558"/>
        <v>2143.06</v>
      </c>
      <c r="AA142" s="89">
        <f t="shared" si="558"/>
        <v>0</v>
      </c>
      <c r="AB142" s="22">
        <f t="shared" si="508"/>
        <v>2143.06</v>
      </c>
      <c r="AC142" s="111">
        <f t="shared" si="509"/>
        <v>0</v>
      </c>
      <c r="AD142" s="22">
        <f t="shared" ref="AD142:CB142" si="559">+AD140+AD141</f>
        <v>2143.06</v>
      </c>
      <c r="AE142" s="22">
        <f t="shared" si="559"/>
        <v>750</v>
      </c>
      <c r="AF142" s="22">
        <f t="shared" si="559"/>
        <v>676.65</v>
      </c>
      <c r="AG142" s="22">
        <f t="shared" si="559"/>
        <v>536</v>
      </c>
      <c r="AH142" s="22">
        <f t="shared" si="559"/>
        <v>188</v>
      </c>
      <c r="AI142" s="120">
        <f t="shared" si="559"/>
        <v>179</v>
      </c>
      <c r="AJ142" s="22">
        <f t="shared" si="559"/>
        <v>63</v>
      </c>
      <c r="AK142" s="22">
        <f t="shared" si="559"/>
        <v>0</v>
      </c>
      <c r="AL142" s="22">
        <f t="shared" si="559"/>
        <v>0</v>
      </c>
      <c r="AM142" s="22">
        <f t="shared" si="559"/>
        <v>535.77</v>
      </c>
      <c r="AN142" s="22">
        <f t="shared" si="559"/>
        <v>182.63</v>
      </c>
      <c r="AO142" s="22">
        <f t="shared" si="559"/>
        <v>0</v>
      </c>
      <c r="AP142" s="22">
        <f t="shared" si="559"/>
        <v>0</v>
      </c>
      <c r="AQ142" s="22">
        <f t="shared" si="559"/>
        <v>1071.77</v>
      </c>
      <c r="AR142" s="22">
        <f t="shared" si="559"/>
        <v>370.63</v>
      </c>
      <c r="AS142" s="22">
        <f t="shared" si="559"/>
        <v>0</v>
      </c>
      <c r="AT142" s="22">
        <f t="shared" si="559"/>
        <v>0</v>
      </c>
      <c r="AU142" s="22">
        <f t="shared" si="559"/>
        <v>535.77</v>
      </c>
      <c r="AV142" s="22">
        <f t="shared" si="559"/>
        <v>187.5</v>
      </c>
      <c r="AW142" s="22">
        <f t="shared" si="559"/>
        <v>0</v>
      </c>
      <c r="AX142" s="22">
        <f t="shared" si="559"/>
        <v>0</v>
      </c>
      <c r="AY142" s="22">
        <f t="shared" si="559"/>
        <v>1786.54</v>
      </c>
      <c r="AZ142" s="22">
        <f t="shared" si="559"/>
        <v>621.13</v>
      </c>
      <c r="BA142" s="22">
        <f t="shared" si="559"/>
        <v>2407.67</v>
      </c>
      <c r="BB142" s="22">
        <f t="shared" si="559"/>
        <v>1639.04</v>
      </c>
      <c r="BC142" s="22">
        <f t="shared" si="559"/>
        <v>439.03</v>
      </c>
      <c r="BD142" s="22">
        <f t="shared" si="559"/>
        <v>147.5</v>
      </c>
      <c r="BE142" s="22">
        <f t="shared" si="559"/>
        <v>182.10000000000002</v>
      </c>
      <c r="BF142" s="22">
        <f t="shared" si="559"/>
        <v>327.81</v>
      </c>
      <c r="BG142" s="120">
        <f t="shared" si="559"/>
        <v>87.81</v>
      </c>
      <c r="BH142" s="120">
        <f t="shared" si="559"/>
        <v>90.16</v>
      </c>
      <c r="BI142" s="120">
        <f t="shared" si="559"/>
        <v>0</v>
      </c>
      <c r="BJ142" s="120">
        <f t="shared" si="559"/>
        <v>0</v>
      </c>
      <c r="BK142" s="120">
        <f t="shared" si="559"/>
        <v>0</v>
      </c>
      <c r="BL142" s="120">
        <f t="shared" si="559"/>
        <v>1876.7</v>
      </c>
      <c r="BM142" s="120">
        <f t="shared" si="559"/>
        <v>621.13</v>
      </c>
      <c r="BN142" s="120">
        <f t="shared" si="559"/>
        <v>2497.83</v>
      </c>
      <c r="BO142" s="120">
        <f t="shared" si="559"/>
        <v>1812.14</v>
      </c>
      <c r="BP142" s="120">
        <f t="shared" si="559"/>
        <v>493.28</v>
      </c>
      <c r="BQ142" s="22">
        <f t="shared" si="559"/>
        <v>64.559999999999945</v>
      </c>
      <c r="BR142" s="22">
        <f t="shared" si="559"/>
        <v>127.85000000000002</v>
      </c>
      <c r="BS142" s="22">
        <f t="shared" si="559"/>
        <v>164.74</v>
      </c>
      <c r="BT142" s="22">
        <f t="shared" si="559"/>
        <v>44.84</v>
      </c>
      <c r="BU142" s="22">
        <f t="shared" si="559"/>
        <v>100.18</v>
      </c>
      <c r="BV142" s="22">
        <f t="shared" si="559"/>
        <v>0</v>
      </c>
      <c r="BW142" s="22">
        <f t="shared" si="559"/>
        <v>25</v>
      </c>
      <c r="BX142" s="22">
        <f t="shared" si="559"/>
        <v>70</v>
      </c>
      <c r="BY142" s="22">
        <f t="shared" si="559"/>
        <v>0</v>
      </c>
      <c r="BZ142" s="22">
        <f t="shared" si="559"/>
        <v>0</v>
      </c>
      <c r="CA142" s="22">
        <f t="shared" si="559"/>
        <v>2001.88</v>
      </c>
      <c r="CB142" s="22">
        <f t="shared" si="559"/>
        <v>691.13</v>
      </c>
    </row>
    <row r="143" spans="1:80" ht="18" x14ac:dyDescent="0.3">
      <c r="A143" s="13">
        <v>6</v>
      </c>
      <c r="B143" s="13"/>
      <c r="C143" s="14"/>
      <c r="D143" s="15" t="s">
        <v>231</v>
      </c>
      <c r="E143" s="16"/>
      <c r="F143" s="82">
        <v>2779.65</v>
      </c>
      <c r="G143" s="82">
        <v>422.05999999999995</v>
      </c>
      <c r="H143" s="82">
        <v>2779.65</v>
      </c>
      <c r="I143" s="17">
        <v>422.05999999999995</v>
      </c>
      <c r="J143" s="87">
        <v>3500</v>
      </c>
      <c r="K143" s="88">
        <v>0</v>
      </c>
      <c r="L143" s="88">
        <v>0</v>
      </c>
      <c r="M143" s="88">
        <f t="shared" si="531"/>
        <v>3500</v>
      </c>
      <c r="N143" s="88">
        <v>0</v>
      </c>
      <c r="O143" s="88">
        <v>0</v>
      </c>
      <c r="P143" s="88">
        <v>0</v>
      </c>
      <c r="Q143" s="88">
        <f t="shared" ref="Q143:Q145" si="560">N143+O143+P143</f>
        <v>0</v>
      </c>
      <c r="R143" s="88">
        <f t="shared" si="533"/>
        <v>3500</v>
      </c>
      <c r="S143" s="88">
        <v>350</v>
      </c>
      <c r="V143" s="17">
        <f t="shared" ref="V143:V144" si="561">ROUND(H143*1.0583,2)</f>
        <v>2941.7</v>
      </c>
      <c r="W143" s="17">
        <f t="shared" ref="W143:W144" si="562">ROUND(I143*1.0327,2)</f>
        <v>435.86</v>
      </c>
      <c r="X143" s="110">
        <f t="shared" si="506"/>
        <v>558.30000000000018</v>
      </c>
      <c r="Y143" s="110">
        <f t="shared" si="507"/>
        <v>-85.860000000000014</v>
      </c>
      <c r="Z143" s="110">
        <v>2941.7</v>
      </c>
      <c r="AA143" s="110"/>
      <c r="AB143" s="110">
        <f t="shared" si="508"/>
        <v>2941.7</v>
      </c>
      <c r="AC143" s="111">
        <f t="shared" si="509"/>
        <v>0</v>
      </c>
      <c r="AD143" s="110">
        <f t="shared" ref="AD143" si="563">IF(X143&gt;0,V143,R143)</f>
        <v>2941.7</v>
      </c>
      <c r="AE143" s="110">
        <f t="shared" ref="AE143" si="564">IF(Y143&gt;0,W143,S143)</f>
        <v>350</v>
      </c>
      <c r="AF143" s="110">
        <f t="shared" si="510"/>
        <v>315.77</v>
      </c>
      <c r="AG143" s="110">
        <f t="shared" si="511"/>
        <v>735</v>
      </c>
      <c r="AH143" s="110">
        <f t="shared" si="512"/>
        <v>88</v>
      </c>
      <c r="AI143" s="129">
        <f t="shared" si="513"/>
        <v>245</v>
      </c>
      <c r="AJ143" s="110">
        <f t="shared" si="514"/>
        <v>29</v>
      </c>
      <c r="AM143" s="110">
        <f t="shared" si="515"/>
        <v>735.43</v>
      </c>
      <c r="AN143" s="110">
        <f t="shared" si="516"/>
        <v>85.23</v>
      </c>
      <c r="AQ143" s="110">
        <f t="shared" si="517"/>
        <v>1470.4299999999998</v>
      </c>
      <c r="AR143" s="110">
        <f t="shared" si="518"/>
        <v>173.23000000000002</v>
      </c>
      <c r="AU143" s="154">
        <f t="shared" si="401"/>
        <v>735.43</v>
      </c>
      <c r="AV143" s="154">
        <f>ROUND(AE143*25%,2)-14.73</f>
        <v>72.77</v>
      </c>
      <c r="AW143" s="141"/>
      <c r="AX143" s="145">
        <v>27</v>
      </c>
      <c r="AY143" s="110">
        <f t="shared" si="499"/>
        <v>2450.8599999999997</v>
      </c>
      <c r="AZ143" s="110">
        <f t="shared" si="500"/>
        <v>302</v>
      </c>
      <c r="BA143" s="110">
        <f t="shared" si="501"/>
        <v>2752.8599999999997</v>
      </c>
      <c r="BB143" s="142">
        <v>2099.16</v>
      </c>
      <c r="BC143" s="142">
        <v>299.38</v>
      </c>
      <c r="BD143" s="142">
        <f t="shared" si="502"/>
        <v>351.69999999999982</v>
      </c>
      <c r="BE143" s="142">
        <f t="shared" si="503"/>
        <v>2.6200000000000045</v>
      </c>
      <c r="BF143" s="142">
        <f t="shared" si="504"/>
        <v>419.83</v>
      </c>
      <c r="BG143" s="142">
        <f t="shared" si="505"/>
        <v>59.88</v>
      </c>
      <c r="BH143" s="110">
        <v>34.07</v>
      </c>
      <c r="BI143" s="146">
        <v>28.63</v>
      </c>
      <c r="BJ143" s="146"/>
      <c r="BK143" s="146">
        <v>42</v>
      </c>
      <c r="BL143" s="110">
        <f t="shared" si="526"/>
        <v>2484.9299999999998</v>
      </c>
      <c r="BM143" s="110">
        <f t="shared" si="538"/>
        <v>372.63</v>
      </c>
      <c r="BN143" s="110">
        <f t="shared" si="539"/>
        <v>2857.56</v>
      </c>
      <c r="BO143" s="110">
        <v>2283.52</v>
      </c>
      <c r="BP143" s="129">
        <v>363.21</v>
      </c>
      <c r="BQ143" s="110">
        <f t="shared" si="540"/>
        <v>201.40999999999985</v>
      </c>
      <c r="BR143" s="110">
        <f t="shared" si="541"/>
        <v>9.4200000000000159</v>
      </c>
      <c r="BS143" s="110">
        <f t="shared" si="542"/>
        <v>207.59</v>
      </c>
      <c r="BT143" s="110">
        <f t="shared" si="543"/>
        <v>33.020000000000003</v>
      </c>
      <c r="BU143" s="110">
        <f t="shared" si="557"/>
        <v>6.18</v>
      </c>
      <c r="BV143" s="110">
        <v>0</v>
      </c>
      <c r="BW143" s="111">
        <v>130</v>
      </c>
      <c r="BX143" s="110">
        <v>25</v>
      </c>
      <c r="CA143" s="110">
        <f t="shared" si="544"/>
        <v>2621.1099999999997</v>
      </c>
      <c r="CB143" s="110">
        <f t="shared" si="545"/>
        <v>397.63</v>
      </c>
    </row>
    <row r="144" spans="1:80" ht="36" x14ac:dyDescent="0.3">
      <c r="A144" s="13">
        <v>7</v>
      </c>
      <c r="B144" s="13"/>
      <c r="C144" s="14"/>
      <c r="D144" s="15" t="s">
        <v>232</v>
      </c>
      <c r="E144" s="16"/>
      <c r="F144" s="82">
        <v>0</v>
      </c>
      <c r="G144" s="82">
        <v>0</v>
      </c>
      <c r="H144" s="82">
        <v>0</v>
      </c>
      <c r="I144" s="17">
        <v>0</v>
      </c>
      <c r="J144" s="87">
        <v>0</v>
      </c>
      <c r="K144" s="88">
        <v>0</v>
      </c>
      <c r="L144" s="88">
        <v>0</v>
      </c>
      <c r="M144" s="88">
        <f t="shared" si="531"/>
        <v>0</v>
      </c>
      <c r="N144" s="88">
        <v>0</v>
      </c>
      <c r="O144" s="88">
        <v>0</v>
      </c>
      <c r="P144" s="88">
        <v>0</v>
      </c>
      <c r="Q144" s="88">
        <f t="shared" si="560"/>
        <v>0</v>
      </c>
      <c r="R144" s="88">
        <f t="shared" si="533"/>
        <v>0</v>
      </c>
      <c r="S144" s="88">
        <v>0</v>
      </c>
      <c r="V144" s="17">
        <f t="shared" si="561"/>
        <v>0</v>
      </c>
      <c r="W144" s="17">
        <f t="shared" si="562"/>
        <v>0</v>
      </c>
      <c r="X144" s="110">
        <f t="shared" si="506"/>
        <v>0</v>
      </c>
      <c r="Y144" s="110">
        <f t="shared" si="507"/>
        <v>0</v>
      </c>
      <c r="Z144" s="110">
        <v>0</v>
      </c>
      <c r="AA144" s="110"/>
      <c r="AB144" s="110">
        <f t="shared" si="508"/>
        <v>0</v>
      </c>
      <c r="AC144" s="111">
        <f t="shared" si="509"/>
        <v>0</v>
      </c>
      <c r="AD144" s="110">
        <f t="shared" ref="AD144:AD145" si="565">IF(X144&gt;0,V144,R144)</f>
        <v>0</v>
      </c>
      <c r="AE144" s="110">
        <f t="shared" ref="AE144:AE145" si="566">IF(Y144&gt;0,W144,S144)</f>
        <v>0</v>
      </c>
      <c r="AF144" s="110">
        <f t="shared" si="510"/>
        <v>0</v>
      </c>
      <c r="AG144" s="110">
        <f t="shared" si="511"/>
        <v>0</v>
      </c>
      <c r="AH144" s="110">
        <f t="shared" si="512"/>
        <v>0</v>
      </c>
      <c r="AI144" s="129">
        <f t="shared" si="513"/>
        <v>0</v>
      </c>
      <c r="AJ144" s="110">
        <f t="shared" si="514"/>
        <v>0</v>
      </c>
      <c r="AM144" s="110">
        <f t="shared" si="515"/>
        <v>0</v>
      </c>
      <c r="AN144" s="110">
        <f t="shared" si="516"/>
        <v>0</v>
      </c>
      <c r="AQ144" s="110">
        <f t="shared" si="517"/>
        <v>0</v>
      </c>
      <c r="AR144" s="110">
        <f t="shared" si="518"/>
        <v>0</v>
      </c>
      <c r="AU144" s="110">
        <f t="shared" si="401"/>
        <v>0</v>
      </c>
      <c r="AV144" s="110">
        <f t="shared" si="525"/>
        <v>0</v>
      </c>
      <c r="AW144" s="118"/>
      <c r="AX144" s="118"/>
      <c r="AY144" s="110">
        <f t="shared" si="499"/>
        <v>0</v>
      </c>
      <c r="AZ144" s="110">
        <f t="shared" si="500"/>
        <v>0</v>
      </c>
      <c r="BA144" s="110">
        <f t="shared" si="501"/>
        <v>0</v>
      </c>
      <c r="BB144" s="142">
        <v>0</v>
      </c>
      <c r="BD144" s="142">
        <f t="shared" si="502"/>
        <v>0</v>
      </c>
      <c r="BE144" s="142">
        <f t="shared" si="503"/>
        <v>0</v>
      </c>
      <c r="BF144" s="142">
        <f t="shared" si="504"/>
        <v>0</v>
      </c>
      <c r="BG144" s="142">
        <f t="shared" si="505"/>
        <v>0</v>
      </c>
      <c r="BH144" s="110">
        <v>0</v>
      </c>
      <c r="BI144" s="110">
        <v>0</v>
      </c>
      <c r="BL144" s="110">
        <f t="shared" si="526"/>
        <v>0</v>
      </c>
      <c r="BM144" s="110">
        <f t="shared" si="538"/>
        <v>0</v>
      </c>
      <c r="BN144" s="110">
        <f t="shared" si="539"/>
        <v>0</v>
      </c>
      <c r="BO144" s="110">
        <v>0</v>
      </c>
      <c r="BP144" s="129"/>
      <c r="BQ144" s="110">
        <f t="shared" si="540"/>
        <v>0</v>
      </c>
      <c r="BR144" s="110">
        <f t="shared" si="541"/>
        <v>0</v>
      </c>
      <c r="BS144" s="110">
        <f t="shared" si="542"/>
        <v>0</v>
      </c>
      <c r="BT144" s="110">
        <f t="shared" si="543"/>
        <v>0</v>
      </c>
      <c r="BU144" s="110">
        <f t="shared" si="557"/>
        <v>0</v>
      </c>
      <c r="BV144" s="110">
        <v>0</v>
      </c>
      <c r="CA144" s="110">
        <f t="shared" si="544"/>
        <v>0</v>
      </c>
      <c r="CB144" s="110">
        <f t="shared" si="545"/>
        <v>0</v>
      </c>
    </row>
    <row r="145" spans="1:80" ht="36" x14ac:dyDescent="0.3">
      <c r="A145" s="13">
        <v>8</v>
      </c>
      <c r="B145" s="13"/>
      <c r="C145" s="14"/>
      <c r="D145" s="15" t="s">
        <v>233</v>
      </c>
      <c r="E145" s="16"/>
      <c r="F145" s="82">
        <v>55.17</v>
      </c>
      <c r="G145" s="82">
        <v>0</v>
      </c>
      <c r="H145" s="82">
        <v>55.17</v>
      </c>
      <c r="I145" s="17">
        <v>0</v>
      </c>
      <c r="J145" s="87">
        <v>48</v>
      </c>
      <c r="K145" s="88">
        <v>0</v>
      </c>
      <c r="L145" s="88">
        <v>0</v>
      </c>
      <c r="M145" s="88">
        <f t="shared" si="531"/>
        <v>48</v>
      </c>
      <c r="N145" s="88"/>
      <c r="O145" s="88"/>
      <c r="P145" s="88"/>
      <c r="Q145" s="88">
        <f t="shared" si="560"/>
        <v>0</v>
      </c>
      <c r="R145" s="88">
        <f t="shared" si="533"/>
        <v>48</v>
      </c>
      <c r="S145" s="88"/>
      <c r="V145" s="17">
        <f t="shared" ref="V145" si="567">ROUND(H145*1.0583,2)</f>
        <v>58.39</v>
      </c>
      <c r="W145" s="17">
        <f t="shared" ref="W145" si="568">ROUND(I145*1.0327,2)</f>
        <v>0</v>
      </c>
      <c r="X145" s="110">
        <f t="shared" si="506"/>
        <v>-10.39</v>
      </c>
      <c r="Y145" s="110">
        <f t="shared" si="507"/>
        <v>0</v>
      </c>
      <c r="Z145" s="110">
        <v>48</v>
      </c>
      <c r="AA145" s="110"/>
      <c r="AB145" s="110">
        <f t="shared" si="508"/>
        <v>48</v>
      </c>
      <c r="AC145" s="111">
        <f t="shared" si="509"/>
        <v>0</v>
      </c>
      <c r="AD145" s="110">
        <f t="shared" si="565"/>
        <v>48</v>
      </c>
      <c r="AE145" s="110">
        <f t="shared" si="566"/>
        <v>0</v>
      </c>
      <c r="AF145" s="110">
        <f t="shared" si="510"/>
        <v>0</v>
      </c>
      <c r="AG145" s="110">
        <f t="shared" si="511"/>
        <v>12</v>
      </c>
      <c r="AH145" s="110">
        <f t="shared" si="512"/>
        <v>0</v>
      </c>
      <c r="AI145" s="129">
        <f t="shared" si="513"/>
        <v>4</v>
      </c>
      <c r="AJ145" s="110">
        <f t="shared" si="514"/>
        <v>0</v>
      </c>
      <c r="AM145" s="110">
        <f t="shared" si="515"/>
        <v>12</v>
      </c>
      <c r="AN145" s="110">
        <f t="shared" si="516"/>
        <v>0</v>
      </c>
      <c r="AQ145" s="110">
        <f t="shared" si="517"/>
        <v>24</v>
      </c>
      <c r="AR145" s="110">
        <f t="shared" si="518"/>
        <v>0</v>
      </c>
      <c r="AU145" s="110">
        <f t="shared" si="401"/>
        <v>12</v>
      </c>
      <c r="AV145" s="110">
        <f t="shared" si="525"/>
        <v>0</v>
      </c>
      <c r="AY145" s="110">
        <f t="shared" si="499"/>
        <v>40</v>
      </c>
      <c r="AZ145" s="110">
        <f t="shared" si="500"/>
        <v>0</v>
      </c>
      <c r="BA145" s="110">
        <f t="shared" si="501"/>
        <v>40</v>
      </c>
      <c r="BB145" s="142">
        <v>40</v>
      </c>
      <c r="BD145" s="142">
        <f t="shared" si="502"/>
        <v>0</v>
      </c>
      <c r="BE145" s="142">
        <f t="shared" si="503"/>
        <v>0</v>
      </c>
      <c r="BF145" s="142">
        <f t="shared" si="504"/>
        <v>8</v>
      </c>
      <c r="BG145" s="142">
        <f t="shared" si="505"/>
        <v>0</v>
      </c>
      <c r="BH145" s="110">
        <v>3</v>
      </c>
      <c r="BI145" s="110">
        <v>0</v>
      </c>
      <c r="BL145" s="110">
        <f t="shared" si="526"/>
        <v>43</v>
      </c>
      <c r="BM145" s="110">
        <f t="shared" si="538"/>
        <v>0</v>
      </c>
      <c r="BN145" s="110">
        <f t="shared" si="539"/>
        <v>43</v>
      </c>
      <c r="BO145" s="110">
        <v>40</v>
      </c>
      <c r="BP145" s="129"/>
      <c r="BQ145" s="110">
        <f t="shared" si="540"/>
        <v>3</v>
      </c>
      <c r="BR145" s="110">
        <f t="shared" si="541"/>
        <v>0</v>
      </c>
      <c r="BS145" s="110">
        <f t="shared" si="542"/>
        <v>3.64</v>
      </c>
      <c r="BT145" s="110">
        <f t="shared" si="543"/>
        <v>0</v>
      </c>
      <c r="BU145" s="110">
        <f t="shared" ref="BU145" si="569">ROUND(BS145-BQ145,2)</f>
        <v>0.64</v>
      </c>
      <c r="BV145" s="110">
        <v>0</v>
      </c>
      <c r="CA145" s="110">
        <f t="shared" si="544"/>
        <v>43.64</v>
      </c>
      <c r="CB145" s="110">
        <f t="shared" si="545"/>
        <v>0</v>
      </c>
    </row>
    <row r="146" spans="1:80" ht="18" x14ac:dyDescent="0.3">
      <c r="A146" s="18"/>
      <c r="B146" s="18" t="s">
        <v>234</v>
      </c>
      <c r="C146" s="19" t="s">
        <v>85</v>
      </c>
      <c r="D146" s="20" t="s">
        <v>231</v>
      </c>
      <c r="E146" s="21" t="s">
        <v>235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9">
        <f t="shared" ref="J146:AA146" si="570">+J143+J144+J145</f>
        <v>3548</v>
      </c>
      <c r="K146" s="89">
        <f t="shared" si="570"/>
        <v>0</v>
      </c>
      <c r="L146" s="89">
        <f t="shared" si="570"/>
        <v>0</v>
      </c>
      <c r="M146" s="89">
        <f t="shared" si="570"/>
        <v>3548</v>
      </c>
      <c r="N146" s="89">
        <f t="shared" si="570"/>
        <v>0</v>
      </c>
      <c r="O146" s="89">
        <f t="shared" si="570"/>
        <v>0</v>
      </c>
      <c r="P146" s="89">
        <f t="shared" si="570"/>
        <v>0</v>
      </c>
      <c r="Q146" s="89">
        <f t="shared" si="570"/>
        <v>0</v>
      </c>
      <c r="R146" s="89">
        <f t="shared" si="570"/>
        <v>3548</v>
      </c>
      <c r="S146" s="89">
        <f t="shared" si="570"/>
        <v>350</v>
      </c>
      <c r="T146" s="89">
        <f t="shared" si="570"/>
        <v>0</v>
      </c>
      <c r="U146" s="89">
        <f t="shared" si="570"/>
        <v>0</v>
      </c>
      <c r="V146" s="89">
        <f t="shared" si="570"/>
        <v>3000.0899999999997</v>
      </c>
      <c r="W146" s="89">
        <f t="shared" si="570"/>
        <v>435.86</v>
      </c>
      <c r="X146" s="89">
        <f t="shared" si="570"/>
        <v>547.9100000000002</v>
      </c>
      <c r="Y146" s="89">
        <f t="shared" si="570"/>
        <v>-85.860000000000014</v>
      </c>
      <c r="Z146" s="89">
        <f t="shared" si="570"/>
        <v>2989.7</v>
      </c>
      <c r="AA146" s="89">
        <f t="shared" si="570"/>
        <v>0</v>
      </c>
      <c r="AB146" s="22">
        <f t="shared" si="508"/>
        <v>2989.7</v>
      </c>
      <c r="AC146" s="111">
        <f t="shared" si="509"/>
        <v>0</v>
      </c>
      <c r="AD146" s="22">
        <f t="shared" ref="AD146:CB146" si="571">+AD143+AD144+AD145</f>
        <v>2989.7</v>
      </c>
      <c r="AE146" s="22">
        <f t="shared" si="571"/>
        <v>350</v>
      </c>
      <c r="AF146" s="22">
        <f t="shared" si="571"/>
        <v>315.77</v>
      </c>
      <c r="AG146" s="22">
        <f t="shared" si="571"/>
        <v>747</v>
      </c>
      <c r="AH146" s="22">
        <f t="shared" si="571"/>
        <v>88</v>
      </c>
      <c r="AI146" s="120">
        <f t="shared" si="571"/>
        <v>249</v>
      </c>
      <c r="AJ146" s="22">
        <f t="shared" si="571"/>
        <v>29</v>
      </c>
      <c r="AK146" s="22">
        <f t="shared" si="571"/>
        <v>0</v>
      </c>
      <c r="AL146" s="22">
        <f t="shared" si="571"/>
        <v>0</v>
      </c>
      <c r="AM146" s="22">
        <f t="shared" si="571"/>
        <v>747.43</v>
      </c>
      <c r="AN146" s="22">
        <f t="shared" si="571"/>
        <v>85.23</v>
      </c>
      <c r="AO146" s="22">
        <f t="shared" si="571"/>
        <v>0</v>
      </c>
      <c r="AP146" s="22">
        <f t="shared" si="571"/>
        <v>0</v>
      </c>
      <c r="AQ146" s="22">
        <f t="shared" si="571"/>
        <v>1494.4299999999998</v>
      </c>
      <c r="AR146" s="22">
        <f t="shared" si="571"/>
        <v>173.23000000000002</v>
      </c>
      <c r="AS146" s="22">
        <f t="shared" si="571"/>
        <v>0</v>
      </c>
      <c r="AT146" s="22">
        <f t="shared" si="571"/>
        <v>0</v>
      </c>
      <c r="AU146" s="22">
        <f t="shared" si="571"/>
        <v>747.43</v>
      </c>
      <c r="AV146" s="22">
        <f t="shared" si="571"/>
        <v>72.77</v>
      </c>
      <c r="AW146" s="22">
        <f t="shared" si="571"/>
        <v>0</v>
      </c>
      <c r="AX146" s="22">
        <f t="shared" si="571"/>
        <v>27</v>
      </c>
      <c r="AY146" s="22">
        <f t="shared" si="571"/>
        <v>2490.8599999999997</v>
      </c>
      <c r="AZ146" s="22">
        <f t="shared" si="571"/>
        <v>302</v>
      </c>
      <c r="BA146" s="22">
        <f t="shared" si="571"/>
        <v>2792.8599999999997</v>
      </c>
      <c r="BB146" s="22">
        <f t="shared" si="571"/>
        <v>2139.16</v>
      </c>
      <c r="BC146" s="22">
        <f t="shared" si="571"/>
        <v>299.38</v>
      </c>
      <c r="BD146" s="22">
        <f t="shared" si="571"/>
        <v>351.69999999999982</v>
      </c>
      <c r="BE146" s="22">
        <f t="shared" si="571"/>
        <v>2.6200000000000045</v>
      </c>
      <c r="BF146" s="22">
        <f t="shared" si="571"/>
        <v>427.83</v>
      </c>
      <c r="BG146" s="120">
        <f t="shared" si="571"/>
        <v>59.88</v>
      </c>
      <c r="BH146" s="120">
        <f t="shared" si="571"/>
        <v>37.07</v>
      </c>
      <c r="BI146" s="120">
        <f t="shared" si="571"/>
        <v>28.63</v>
      </c>
      <c r="BJ146" s="120">
        <f t="shared" si="571"/>
        <v>0</v>
      </c>
      <c r="BK146" s="120">
        <f t="shared" si="571"/>
        <v>42</v>
      </c>
      <c r="BL146" s="120">
        <f t="shared" si="571"/>
        <v>2527.9299999999998</v>
      </c>
      <c r="BM146" s="120">
        <f t="shared" si="571"/>
        <v>372.63</v>
      </c>
      <c r="BN146" s="120">
        <f t="shared" si="571"/>
        <v>2900.56</v>
      </c>
      <c r="BO146" s="120">
        <f t="shared" si="571"/>
        <v>2323.52</v>
      </c>
      <c r="BP146" s="120">
        <f t="shared" si="571"/>
        <v>363.21</v>
      </c>
      <c r="BQ146" s="22">
        <f t="shared" si="571"/>
        <v>204.40999999999985</v>
      </c>
      <c r="BR146" s="22">
        <f t="shared" si="571"/>
        <v>9.4200000000000159</v>
      </c>
      <c r="BS146" s="22">
        <f t="shared" si="571"/>
        <v>211.23</v>
      </c>
      <c r="BT146" s="22">
        <f t="shared" si="571"/>
        <v>33.020000000000003</v>
      </c>
      <c r="BU146" s="22">
        <f t="shared" si="571"/>
        <v>6.8199999999999994</v>
      </c>
      <c r="BV146" s="22">
        <f t="shared" si="571"/>
        <v>0</v>
      </c>
      <c r="BW146" s="22">
        <f t="shared" si="571"/>
        <v>130</v>
      </c>
      <c r="BX146" s="22">
        <f t="shared" si="571"/>
        <v>25</v>
      </c>
      <c r="BY146" s="22">
        <f t="shared" si="571"/>
        <v>0</v>
      </c>
      <c r="BZ146" s="22">
        <f t="shared" si="571"/>
        <v>0</v>
      </c>
      <c r="CA146" s="22">
        <f t="shared" si="571"/>
        <v>2664.7499999999995</v>
      </c>
      <c r="CB146" s="22">
        <f t="shared" si="571"/>
        <v>397.63</v>
      </c>
    </row>
    <row r="147" spans="1:80" ht="18" x14ac:dyDescent="0.3">
      <c r="A147" s="13">
        <v>9</v>
      </c>
      <c r="B147" s="13"/>
      <c r="C147" s="14"/>
      <c r="D147" s="15" t="s">
        <v>236</v>
      </c>
      <c r="E147" s="16"/>
      <c r="F147" s="82">
        <v>13690.599999999999</v>
      </c>
      <c r="G147" s="82">
        <v>16258.989999999998</v>
      </c>
      <c r="H147" s="82">
        <v>13614.599999999999</v>
      </c>
      <c r="I147" s="17">
        <v>16258.989999999998</v>
      </c>
      <c r="J147" s="87">
        <v>15499.7</v>
      </c>
      <c r="K147" s="88">
        <v>0</v>
      </c>
      <c r="L147" s="88">
        <v>0.3</v>
      </c>
      <c r="M147" s="88">
        <f t="shared" si="531"/>
        <v>15500</v>
      </c>
      <c r="N147" s="88">
        <v>0</v>
      </c>
      <c r="O147" s="88">
        <v>0</v>
      </c>
      <c r="P147" s="88">
        <v>0</v>
      </c>
      <c r="Q147" s="88">
        <f t="shared" ref="Q147:Q155" si="572">N147+O147+P147</f>
        <v>0</v>
      </c>
      <c r="R147" s="88">
        <f t="shared" si="533"/>
        <v>15500</v>
      </c>
      <c r="S147" s="88">
        <v>18500</v>
      </c>
      <c r="V147" s="17">
        <f t="shared" ref="V147:V149" si="573">ROUND(H147*1.0583,2)</f>
        <v>14408.33</v>
      </c>
      <c r="W147" s="17">
        <f t="shared" ref="W147:W149" si="574">ROUND(I147*1.0327,2)</f>
        <v>16790.66</v>
      </c>
      <c r="X147" s="110">
        <f t="shared" si="506"/>
        <v>1091.67</v>
      </c>
      <c r="Y147" s="110">
        <f t="shared" si="507"/>
        <v>1709.3400000000001</v>
      </c>
      <c r="Z147" s="110">
        <v>14408.33</v>
      </c>
      <c r="AA147" s="110"/>
      <c r="AB147" s="110">
        <f t="shared" si="508"/>
        <v>14408.33</v>
      </c>
      <c r="AC147" s="111">
        <f t="shared" si="509"/>
        <v>0</v>
      </c>
      <c r="AD147" s="110">
        <f t="shared" ref="AD147" si="575">IF(X147&gt;0,V147,R147)</f>
        <v>14408.33</v>
      </c>
      <c r="AE147" s="110">
        <f t="shared" ref="AE147" si="576">IF(Y147&gt;0,W147,S147)</f>
        <v>16790.66</v>
      </c>
      <c r="AF147" s="110">
        <f t="shared" si="510"/>
        <v>16690.7</v>
      </c>
      <c r="AG147" s="110">
        <f t="shared" si="511"/>
        <v>3602</v>
      </c>
      <c r="AH147" s="110">
        <f t="shared" si="512"/>
        <v>4198</v>
      </c>
      <c r="AI147" s="129">
        <f t="shared" si="513"/>
        <v>1201</v>
      </c>
      <c r="AJ147" s="110">
        <f t="shared" si="514"/>
        <v>1399</v>
      </c>
      <c r="AM147" s="110">
        <f t="shared" si="515"/>
        <v>3602.08</v>
      </c>
      <c r="AN147" s="110">
        <f t="shared" si="516"/>
        <v>4088.53</v>
      </c>
      <c r="AQ147" s="110">
        <f t="shared" si="517"/>
        <v>7204.08</v>
      </c>
      <c r="AR147" s="110">
        <f t="shared" si="518"/>
        <v>8286.5300000000007</v>
      </c>
      <c r="AU147" s="110">
        <f t="shared" si="401"/>
        <v>3602.08</v>
      </c>
      <c r="AV147" s="110">
        <f t="shared" si="525"/>
        <v>4197.67</v>
      </c>
      <c r="AW147" s="118"/>
      <c r="AX147" s="146">
        <v>1000</v>
      </c>
      <c r="AY147" s="118">
        <f t="shared" si="499"/>
        <v>12007.16</v>
      </c>
      <c r="AZ147" s="110">
        <f t="shared" si="500"/>
        <v>14883.2</v>
      </c>
      <c r="BA147" s="110">
        <f t="shared" si="501"/>
        <v>26890.36</v>
      </c>
      <c r="BB147" s="142">
        <v>11384.36</v>
      </c>
      <c r="BC147" s="142">
        <v>14431.39</v>
      </c>
      <c r="BD147" s="142">
        <f t="shared" si="502"/>
        <v>622.79999999999927</v>
      </c>
      <c r="BE147" s="142">
        <f t="shared" si="503"/>
        <v>451.81000000000131</v>
      </c>
      <c r="BF147" s="142">
        <f t="shared" si="504"/>
        <v>2276.87</v>
      </c>
      <c r="BG147" s="142">
        <f t="shared" si="505"/>
        <v>2886.28</v>
      </c>
      <c r="BH147" s="110">
        <v>827.04</v>
      </c>
      <c r="BI147" s="110">
        <v>1165</v>
      </c>
      <c r="BL147" s="110">
        <f t="shared" si="526"/>
        <v>12834.2</v>
      </c>
      <c r="BM147" s="110">
        <f t="shared" si="538"/>
        <v>16048.2</v>
      </c>
      <c r="BN147" s="110">
        <f t="shared" si="539"/>
        <v>28882.400000000001</v>
      </c>
      <c r="BO147" s="110">
        <v>12592.16</v>
      </c>
      <c r="BP147" s="129">
        <v>15992.41</v>
      </c>
      <c r="BQ147" s="110">
        <f t="shared" si="540"/>
        <v>242.04000000000087</v>
      </c>
      <c r="BR147" s="110">
        <f t="shared" si="541"/>
        <v>55.790000000000873</v>
      </c>
      <c r="BS147" s="110">
        <f t="shared" si="542"/>
        <v>1144.74</v>
      </c>
      <c r="BT147" s="110">
        <f t="shared" si="543"/>
        <v>1453.86</v>
      </c>
      <c r="BU147" s="110">
        <f>ROUND(BS147-BQ147,2)</f>
        <v>902.7</v>
      </c>
      <c r="BV147" s="110">
        <f>ROUND(BT147-BR147,2)-39.51</f>
        <v>1358.56</v>
      </c>
      <c r="BW147" s="111">
        <v>200</v>
      </c>
      <c r="BX147" s="110">
        <v>350</v>
      </c>
      <c r="CA147" s="110">
        <f t="shared" si="544"/>
        <v>13936.900000000001</v>
      </c>
      <c r="CB147" s="110">
        <f t="shared" si="545"/>
        <v>17756.760000000002</v>
      </c>
    </row>
    <row r="148" spans="1:80" ht="36" x14ac:dyDescent="0.3">
      <c r="A148" s="13">
        <v>10</v>
      </c>
      <c r="B148" s="13"/>
      <c r="C148" s="14"/>
      <c r="D148" s="15" t="s">
        <v>237</v>
      </c>
      <c r="E148" s="16"/>
      <c r="F148" s="82">
        <v>0</v>
      </c>
      <c r="G148" s="82">
        <v>0</v>
      </c>
      <c r="H148" s="82">
        <v>0</v>
      </c>
      <c r="I148" s="17">
        <v>0</v>
      </c>
      <c r="J148" s="87">
        <v>0</v>
      </c>
      <c r="K148" s="88">
        <v>0</v>
      </c>
      <c r="L148" s="88">
        <v>0</v>
      </c>
      <c r="M148" s="88">
        <f t="shared" si="531"/>
        <v>0</v>
      </c>
      <c r="N148" s="88">
        <v>0</v>
      </c>
      <c r="O148" s="88">
        <v>0</v>
      </c>
      <c r="P148" s="88">
        <v>0</v>
      </c>
      <c r="Q148" s="88">
        <f t="shared" si="572"/>
        <v>0</v>
      </c>
      <c r="R148" s="88">
        <f t="shared" si="533"/>
        <v>0</v>
      </c>
      <c r="S148" s="88">
        <v>0</v>
      </c>
      <c r="V148" s="17">
        <f t="shared" si="573"/>
        <v>0</v>
      </c>
      <c r="W148" s="17">
        <f t="shared" si="574"/>
        <v>0</v>
      </c>
      <c r="X148" s="110">
        <f t="shared" si="506"/>
        <v>0</v>
      </c>
      <c r="Y148" s="110">
        <f t="shared" si="507"/>
        <v>0</v>
      </c>
      <c r="Z148" s="110">
        <v>0</v>
      </c>
      <c r="AA148" s="110"/>
      <c r="AB148" s="110">
        <f t="shared" si="508"/>
        <v>0</v>
      </c>
      <c r="AC148" s="111">
        <f t="shared" si="509"/>
        <v>0</v>
      </c>
      <c r="AD148" s="110">
        <f t="shared" ref="AD148:AD155" si="577">IF(X148&gt;0,V148,R148)</f>
        <v>0</v>
      </c>
      <c r="AE148" s="110">
        <f t="shared" ref="AE148:AE155" si="578">IF(Y148&gt;0,W148,S148)</f>
        <v>0</v>
      </c>
      <c r="AF148" s="110">
        <f t="shared" si="510"/>
        <v>0</v>
      </c>
      <c r="AG148" s="110">
        <f t="shared" si="511"/>
        <v>0</v>
      </c>
      <c r="AH148" s="110">
        <f t="shared" si="512"/>
        <v>0</v>
      </c>
      <c r="AI148" s="129">
        <f t="shared" si="513"/>
        <v>0</v>
      </c>
      <c r="AJ148" s="110">
        <f t="shared" si="514"/>
        <v>0</v>
      </c>
      <c r="AM148" s="110">
        <f t="shared" si="515"/>
        <v>0</v>
      </c>
      <c r="AN148" s="110">
        <f t="shared" si="516"/>
        <v>0</v>
      </c>
      <c r="AQ148" s="110">
        <f t="shared" si="517"/>
        <v>0</v>
      </c>
      <c r="AR148" s="110">
        <f t="shared" si="518"/>
        <v>0</v>
      </c>
      <c r="AU148" s="110">
        <f t="shared" si="401"/>
        <v>0</v>
      </c>
      <c r="AV148" s="110">
        <f t="shared" si="525"/>
        <v>0</v>
      </c>
      <c r="AY148" s="110">
        <f t="shared" si="499"/>
        <v>0</v>
      </c>
      <c r="AZ148" s="110">
        <f t="shared" si="500"/>
        <v>0</v>
      </c>
      <c r="BA148" s="110">
        <f t="shared" si="501"/>
        <v>0</v>
      </c>
      <c r="BB148" s="142">
        <v>0</v>
      </c>
      <c r="BD148" s="142">
        <f t="shared" si="502"/>
        <v>0</v>
      </c>
      <c r="BE148" s="142">
        <f t="shared" si="503"/>
        <v>0</v>
      </c>
      <c r="BF148" s="142">
        <f t="shared" si="504"/>
        <v>0</v>
      </c>
      <c r="BG148" s="142">
        <f t="shared" si="505"/>
        <v>0</v>
      </c>
      <c r="BH148" s="110">
        <v>0</v>
      </c>
      <c r="BI148" s="110">
        <v>0</v>
      </c>
      <c r="BL148" s="110">
        <f t="shared" si="526"/>
        <v>0</v>
      </c>
      <c r="BM148" s="110">
        <f t="shared" si="538"/>
        <v>0</v>
      </c>
      <c r="BN148" s="110">
        <f t="shared" si="539"/>
        <v>0</v>
      </c>
      <c r="BO148" s="110">
        <v>0</v>
      </c>
      <c r="BP148" s="129"/>
      <c r="BQ148" s="110">
        <f t="shared" si="540"/>
        <v>0</v>
      </c>
      <c r="BR148" s="110">
        <f t="shared" si="541"/>
        <v>0</v>
      </c>
      <c r="BS148" s="110">
        <f t="shared" si="542"/>
        <v>0</v>
      </c>
      <c r="BT148" s="110">
        <f t="shared" si="543"/>
        <v>0</v>
      </c>
      <c r="BU148" s="110">
        <f t="shared" ref="BU148:BU183" si="579">BS148-BQ148</f>
        <v>0</v>
      </c>
      <c r="BV148" s="110">
        <f t="shared" ref="BV148:BV155" si="580">ROUND(BT148-BR148,2)</f>
        <v>0</v>
      </c>
      <c r="CA148" s="110">
        <f t="shared" si="544"/>
        <v>0</v>
      </c>
      <c r="CB148" s="110">
        <f t="shared" si="545"/>
        <v>0</v>
      </c>
    </row>
    <row r="149" spans="1:80" ht="36" x14ac:dyDescent="0.3">
      <c r="A149" s="13">
        <v>11</v>
      </c>
      <c r="B149" s="13"/>
      <c r="C149" s="14"/>
      <c r="D149" s="15" t="s">
        <v>238</v>
      </c>
      <c r="E149" s="16"/>
      <c r="F149" s="82">
        <v>0</v>
      </c>
      <c r="G149" s="82">
        <v>0</v>
      </c>
      <c r="H149" s="82">
        <v>0</v>
      </c>
      <c r="I149" s="17">
        <v>0</v>
      </c>
      <c r="J149" s="87"/>
      <c r="K149" s="88"/>
      <c r="L149" s="88"/>
      <c r="M149" s="88">
        <f t="shared" si="531"/>
        <v>0</v>
      </c>
      <c r="N149" s="88"/>
      <c r="O149" s="88"/>
      <c r="P149" s="88"/>
      <c r="Q149" s="88">
        <f t="shared" si="572"/>
        <v>0</v>
      </c>
      <c r="R149" s="88">
        <f t="shared" si="533"/>
        <v>0</v>
      </c>
      <c r="S149" s="88"/>
      <c r="V149" s="17">
        <f t="shared" si="573"/>
        <v>0</v>
      </c>
      <c r="W149" s="17">
        <f t="shared" si="574"/>
        <v>0</v>
      </c>
      <c r="X149" s="110">
        <f t="shared" si="506"/>
        <v>0</v>
      </c>
      <c r="Y149" s="110">
        <f t="shared" si="507"/>
        <v>0</v>
      </c>
      <c r="Z149" s="110">
        <v>0</v>
      </c>
      <c r="AA149" s="110"/>
      <c r="AB149" s="110">
        <f t="shared" si="508"/>
        <v>0</v>
      </c>
      <c r="AC149" s="111">
        <f t="shared" si="509"/>
        <v>0</v>
      </c>
      <c r="AD149" s="110">
        <f t="shared" si="577"/>
        <v>0</v>
      </c>
      <c r="AE149" s="110">
        <f t="shared" si="578"/>
        <v>0</v>
      </c>
      <c r="AF149" s="110">
        <f t="shared" si="510"/>
        <v>0</v>
      </c>
      <c r="AG149" s="110">
        <f t="shared" si="511"/>
        <v>0</v>
      </c>
      <c r="AH149" s="110">
        <f t="shared" si="512"/>
        <v>0</v>
      </c>
      <c r="AI149" s="129">
        <f t="shared" si="513"/>
        <v>0</v>
      </c>
      <c r="AJ149" s="110">
        <f t="shared" si="514"/>
        <v>0</v>
      </c>
      <c r="AM149" s="110">
        <f t="shared" si="515"/>
        <v>0</v>
      </c>
      <c r="AN149" s="110">
        <f t="shared" si="516"/>
        <v>0</v>
      </c>
      <c r="AQ149" s="110">
        <f t="shared" si="517"/>
        <v>0</v>
      </c>
      <c r="AR149" s="110">
        <f t="shared" si="518"/>
        <v>0</v>
      </c>
      <c r="AU149" s="110">
        <f t="shared" si="401"/>
        <v>0</v>
      </c>
      <c r="AV149" s="110">
        <f t="shared" si="525"/>
        <v>0</v>
      </c>
      <c r="AY149" s="110">
        <f t="shared" si="499"/>
        <v>0</v>
      </c>
      <c r="AZ149" s="110">
        <f t="shared" si="500"/>
        <v>0</v>
      </c>
      <c r="BA149" s="110">
        <f t="shared" si="501"/>
        <v>0</v>
      </c>
      <c r="BB149" s="142">
        <v>0</v>
      </c>
      <c r="BD149" s="142">
        <f t="shared" si="502"/>
        <v>0</v>
      </c>
      <c r="BE149" s="142">
        <f t="shared" si="503"/>
        <v>0</v>
      </c>
      <c r="BF149" s="142">
        <f t="shared" si="504"/>
        <v>0</v>
      </c>
      <c r="BG149" s="142">
        <f t="shared" si="505"/>
        <v>0</v>
      </c>
      <c r="BH149" s="110">
        <v>0</v>
      </c>
      <c r="BI149" s="110">
        <v>0</v>
      </c>
      <c r="BL149" s="110">
        <f t="shared" si="526"/>
        <v>0</v>
      </c>
      <c r="BM149" s="110">
        <f t="shared" si="538"/>
        <v>0</v>
      </c>
      <c r="BN149" s="110">
        <f t="shared" si="539"/>
        <v>0</v>
      </c>
      <c r="BO149" s="110">
        <v>0</v>
      </c>
      <c r="BP149" s="129"/>
      <c r="BQ149" s="110">
        <f t="shared" si="540"/>
        <v>0</v>
      </c>
      <c r="BR149" s="110">
        <f t="shared" si="541"/>
        <v>0</v>
      </c>
      <c r="BS149" s="110">
        <f t="shared" si="542"/>
        <v>0</v>
      </c>
      <c r="BT149" s="110">
        <f t="shared" si="543"/>
        <v>0</v>
      </c>
      <c r="BU149" s="110">
        <f t="shared" si="579"/>
        <v>0</v>
      </c>
      <c r="BV149" s="110">
        <f t="shared" si="580"/>
        <v>0</v>
      </c>
      <c r="CA149" s="110">
        <f t="shared" si="544"/>
        <v>0</v>
      </c>
      <c r="CB149" s="110">
        <f t="shared" si="545"/>
        <v>0</v>
      </c>
    </row>
    <row r="150" spans="1:80" ht="36" x14ac:dyDescent="0.3">
      <c r="A150" s="13">
        <v>12</v>
      </c>
      <c r="B150" s="13"/>
      <c r="C150" s="14"/>
      <c r="D150" s="15" t="s">
        <v>239</v>
      </c>
      <c r="E150" s="16"/>
      <c r="F150" s="82">
        <v>0</v>
      </c>
      <c r="G150" s="82">
        <v>0</v>
      </c>
      <c r="H150" s="82">
        <v>0</v>
      </c>
      <c r="I150" s="17">
        <v>0</v>
      </c>
      <c r="J150" s="87"/>
      <c r="K150" s="88"/>
      <c r="L150" s="88"/>
      <c r="M150" s="88">
        <f t="shared" si="531"/>
        <v>0</v>
      </c>
      <c r="N150" s="88"/>
      <c r="O150" s="88"/>
      <c r="P150" s="88"/>
      <c r="Q150" s="88">
        <f t="shared" si="572"/>
        <v>0</v>
      </c>
      <c r="R150" s="88">
        <f t="shared" si="533"/>
        <v>0</v>
      </c>
      <c r="S150" s="88"/>
      <c r="V150" s="17">
        <f t="shared" ref="V150:V155" si="581">ROUND(H150*1.0583,2)</f>
        <v>0</v>
      </c>
      <c r="W150" s="17">
        <f t="shared" ref="W150:W155" si="582">ROUND(I150*1.0327,2)</f>
        <v>0</v>
      </c>
      <c r="X150" s="110">
        <f t="shared" si="506"/>
        <v>0</v>
      </c>
      <c r="Y150" s="110">
        <f t="shared" si="507"/>
        <v>0</v>
      </c>
      <c r="Z150" s="110">
        <v>0</v>
      </c>
      <c r="AA150" s="110"/>
      <c r="AB150" s="110">
        <f t="shared" si="508"/>
        <v>0</v>
      </c>
      <c r="AC150" s="111">
        <f t="shared" si="509"/>
        <v>0</v>
      </c>
      <c r="AD150" s="110">
        <f t="shared" si="577"/>
        <v>0</v>
      </c>
      <c r="AE150" s="110">
        <f t="shared" si="578"/>
        <v>0</v>
      </c>
      <c r="AF150" s="110">
        <f t="shared" si="510"/>
        <v>0</v>
      </c>
      <c r="AG150" s="110">
        <f t="shared" si="511"/>
        <v>0</v>
      </c>
      <c r="AH150" s="110">
        <f t="shared" si="512"/>
        <v>0</v>
      </c>
      <c r="AI150" s="129">
        <f t="shared" si="513"/>
        <v>0</v>
      </c>
      <c r="AJ150" s="110">
        <f t="shared" si="514"/>
        <v>0</v>
      </c>
      <c r="AM150" s="110">
        <f t="shared" si="515"/>
        <v>0</v>
      </c>
      <c r="AN150" s="110">
        <f t="shared" si="516"/>
        <v>0</v>
      </c>
      <c r="AQ150" s="110">
        <f t="shared" si="517"/>
        <v>0</v>
      </c>
      <c r="AR150" s="110">
        <f t="shared" si="518"/>
        <v>0</v>
      </c>
      <c r="AU150" s="110">
        <f t="shared" si="401"/>
        <v>0</v>
      </c>
      <c r="AV150" s="110">
        <f t="shared" si="525"/>
        <v>0</v>
      </c>
      <c r="AY150" s="110">
        <f t="shared" si="499"/>
        <v>0</v>
      </c>
      <c r="AZ150" s="110">
        <f t="shared" si="500"/>
        <v>0</v>
      </c>
      <c r="BA150" s="110">
        <f t="shared" si="501"/>
        <v>0</v>
      </c>
      <c r="BB150" s="142">
        <v>0</v>
      </c>
      <c r="BD150" s="142">
        <f t="shared" si="502"/>
        <v>0</v>
      </c>
      <c r="BE150" s="142">
        <f t="shared" si="503"/>
        <v>0</v>
      </c>
      <c r="BF150" s="142">
        <f t="shared" si="504"/>
        <v>0</v>
      </c>
      <c r="BG150" s="142">
        <f t="shared" si="505"/>
        <v>0</v>
      </c>
      <c r="BH150" s="110">
        <v>0</v>
      </c>
      <c r="BI150" s="110">
        <v>0</v>
      </c>
      <c r="BL150" s="110">
        <f t="shared" si="526"/>
        <v>0</v>
      </c>
      <c r="BM150" s="110">
        <f t="shared" si="538"/>
        <v>0</v>
      </c>
      <c r="BN150" s="110">
        <f t="shared" si="539"/>
        <v>0</v>
      </c>
      <c r="BO150" s="110">
        <v>0</v>
      </c>
      <c r="BP150" s="129"/>
      <c r="BQ150" s="110">
        <f t="shared" si="540"/>
        <v>0</v>
      </c>
      <c r="BR150" s="110">
        <f t="shared" si="541"/>
        <v>0</v>
      </c>
      <c r="BS150" s="110">
        <f t="shared" si="542"/>
        <v>0</v>
      </c>
      <c r="BT150" s="110">
        <f t="shared" si="543"/>
        <v>0</v>
      </c>
      <c r="BU150" s="110">
        <f t="shared" si="579"/>
        <v>0</v>
      </c>
      <c r="BV150" s="110">
        <f t="shared" si="580"/>
        <v>0</v>
      </c>
      <c r="CA150" s="110">
        <f t="shared" si="544"/>
        <v>0</v>
      </c>
      <c r="CB150" s="110">
        <f t="shared" si="545"/>
        <v>0</v>
      </c>
    </row>
    <row r="151" spans="1:80" ht="18" x14ac:dyDescent="0.3">
      <c r="A151" s="13">
        <v>13</v>
      </c>
      <c r="B151" s="13"/>
      <c r="C151" s="14"/>
      <c r="D151" s="15" t="s">
        <v>240</v>
      </c>
      <c r="E151" s="16"/>
      <c r="F151" s="82">
        <v>0</v>
      </c>
      <c r="G151" s="82">
        <v>0</v>
      </c>
      <c r="H151" s="82">
        <v>0</v>
      </c>
      <c r="I151" s="17">
        <v>0</v>
      </c>
      <c r="J151" s="87"/>
      <c r="K151" s="88"/>
      <c r="L151" s="88"/>
      <c r="M151" s="88">
        <f t="shared" si="531"/>
        <v>0</v>
      </c>
      <c r="N151" s="88"/>
      <c r="O151" s="88"/>
      <c r="P151" s="88"/>
      <c r="Q151" s="88">
        <f t="shared" si="572"/>
        <v>0</v>
      </c>
      <c r="R151" s="88">
        <f t="shared" si="533"/>
        <v>0</v>
      </c>
      <c r="S151" s="88"/>
      <c r="V151" s="17">
        <f t="shared" si="581"/>
        <v>0</v>
      </c>
      <c r="W151" s="17">
        <f t="shared" si="582"/>
        <v>0</v>
      </c>
      <c r="X151" s="110">
        <f t="shared" si="506"/>
        <v>0</v>
      </c>
      <c r="Y151" s="110">
        <f t="shared" si="507"/>
        <v>0</v>
      </c>
      <c r="Z151" s="110">
        <v>0</v>
      </c>
      <c r="AA151" s="110"/>
      <c r="AB151" s="110">
        <f t="shared" si="508"/>
        <v>0</v>
      </c>
      <c r="AC151" s="111">
        <f t="shared" si="509"/>
        <v>0</v>
      </c>
      <c r="AD151" s="110">
        <f t="shared" si="577"/>
        <v>0</v>
      </c>
      <c r="AE151" s="110">
        <f t="shared" si="578"/>
        <v>0</v>
      </c>
      <c r="AF151" s="110">
        <f t="shared" si="510"/>
        <v>0</v>
      </c>
      <c r="AG151" s="110">
        <f t="shared" si="511"/>
        <v>0</v>
      </c>
      <c r="AH151" s="110">
        <f t="shared" si="512"/>
        <v>0</v>
      </c>
      <c r="AI151" s="129">
        <f t="shared" si="513"/>
        <v>0</v>
      </c>
      <c r="AJ151" s="110">
        <f t="shared" si="514"/>
        <v>0</v>
      </c>
      <c r="AM151" s="110">
        <f t="shared" si="515"/>
        <v>0</v>
      </c>
      <c r="AN151" s="110">
        <f t="shared" si="516"/>
        <v>0</v>
      </c>
      <c r="AQ151" s="110">
        <f t="shared" si="517"/>
        <v>0</v>
      </c>
      <c r="AR151" s="110">
        <f t="shared" si="518"/>
        <v>0</v>
      </c>
      <c r="AU151" s="110">
        <f t="shared" si="401"/>
        <v>0</v>
      </c>
      <c r="AV151" s="110">
        <f t="shared" si="525"/>
        <v>0</v>
      </c>
      <c r="AY151" s="110">
        <f t="shared" si="499"/>
        <v>0</v>
      </c>
      <c r="AZ151" s="110">
        <f t="shared" si="500"/>
        <v>0</v>
      </c>
      <c r="BA151" s="110">
        <f t="shared" si="501"/>
        <v>0</v>
      </c>
      <c r="BB151" s="142">
        <v>0</v>
      </c>
      <c r="BD151" s="142">
        <f t="shared" si="502"/>
        <v>0</v>
      </c>
      <c r="BE151" s="142">
        <f t="shared" si="503"/>
        <v>0</v>
      </c>
      <c r="BF151" s="142">
        <f t="shared" si="504"/>
        <v>0</v>
      </c>
      <c r="BG151" s="142">
        <f t="shared" si="505"/>
        <v>0</v>
      </c>
      <c r="BH151" s="110">
        <v>0</v>
      </c>
      <c r="BI151" s="110">
        <v>0</v>
      </c>
      <c r="BL151" s="110">
        <f t="shared" si="526"/>
        <v>0</v>
      </c>
      <c r="BM151" s="110">
        <f t="shared" si="538"/>
        <v>0</v>
      </c>
      <c r="BN151" s="110">
        <f t="shared" si="539"/>
        <v>0</v>
      </c>
      <c r="BO151" s="110">
        <v>0</v>
      </c>
      <c r="BP151" s="129"/>
      <c r="BQ151" s="110">
        <f t="shared" si="540"/>
        <v>0</v>
      </c>
      <c r="BR151" s="110">
        <f t="shared" si="541"/>
        <v>0</v>
      </c>
      <c r="BS151" s="110">
        <f t="shared" si="542"/>
        <v>0</v>
      </c>
      <c r="BT151" s="110">
        <f t="shared" si="543"/>
        <v>0</v>
      </c>
      <c r="BU151" s="110">
        <f t="shared" si="579"/>
        <v>0</v>
      </c>
      <c r="BV151" s="110">
        <f t="shared" si="580"/>
        <v>0</v>
      </c>
      <c r="CA151" s="110">
        <f t="shared" si="544"/>
        <v>0</v>
      </c>
      <c r="CB151" s="110">
        <f t="shared" si="545"/>
        <v>0</v>
      </c>
    </row>
    <row r="152" spans="1:80" ht="18" x14ac:dyDescent="0.3">
      <c r="A152" s="13">
        <v>14</v>
      </c>
      <c r="B152" s="13"/>
      <c r="C152" s="14"/>
      <c r="D152" s="15" t="s">
        <v>241</v>
      </c>
      <c r="E152" s="16"/>
      <c r="F152" s="82">
        <v>0</v>
      </c>
      <c r="G152" s="82">
        <v>0</v>
      </c>
      <c r="H152" s="82">
        <v>0</v>
      </c>
      <c r="I152" s="17">
        <v>0</v>
      </c>
      <c r="J152" s="87"/>
      <c r="K152" s="88"/>
      <c r="L152" s="88"/>
      <c r="M152" s="88">
        <f t="shared" si="531"/>
        <v>0</v>
      </c>
      <c r="N152" s="88"/>
      <c r="O152" s="88"/>
      <c r="P152" s="88"/>
      <c r="Q152" s="88">
        <f t="shared" si="572"/>
        <v>0</v>
      </c>
      <c r="R152" s="88">
        <f t="shared" si="533"/>
        <v>0</v>
      </c>
      <c r="S152" s="88"/>
      <c r="V152" s="17">
        <f t="shared" si="581"/>
        <v>0</v>
      </c>
      <c r="W152" s="17">
        <f t="shared" si="582"/>
        <v>0</v>
      </c>
      <c r="X152" s="110">
        <f t="shared" si="506"/>
        <v>0</v>
      </c>
      <c r="Y152" s="110">
        <f t="shared" si="507"/>
        <v>0</v>
      </c>
      <c r="Z152" s="110">
        <v>0</v>
      </c>
      <c r="AA152" s="110"/>
      <c r="AB152" s="110">
        <f t="shared" si="508"/>
        <v>0</v>
      </c>
      <c r="AC152" s="111">
        <f t="shared" si="509"/>
        <v>0</v>
      </c>
      <c r="AD152" s="110">
        <f t="shared" si="577"/>
        <v>0</v>
      </c>
      <c r="AE152" s="110">
        <f t="shared" si="578"/>
        <v>0</v>
      </c>
      <c r="AF152" s="110">
        <f t="shared" si="510"/>
        <v>0</v>
      </c>
      <c r="AG152" s="110">
        <f t="shared" si="511"/>
        <v>0</v>
      </c>
      <c r="AH152" s="110">
        <f t="shared" si="512"/>
        <v>0</v>
      </c>
      <c r="AI152" s="129">
        <f t="shared" si="513"/>
        <v>0</v>
      </c>
      <c r="AJ152" s="110">
        <f t="shared" si="514"/>
        <v>0</v>
      </c>
      <c r="AM152" s="110">
        <f t="shared" si="515"/>
        <v>0</v>
      </c>
      <c r="AN152" s="110">
        <f t="shared" si="516"/>
        <v>0</v>
      </c>
      <c r="AQ152" s="110">
        <f t="shared" si="517"/>
        <v>0</v>
      </c>
      <c r="AR152" s="110">
        <f t="shared" si="518"/>
        <v>0</v>
      </c>
      <c r="AU152" s="110">
        <f t="shared" si="401"/>
        <v>0</v>
      </c>
      <c r="AV152" s="110">
        <f t="shared" si="525"/>
        <v>0</v>
      </c>
      <c r="AY152" s="110">
        <f t="shared" si="499"/>
        <v>0</v>
      </c>
      <c r="AZ152" s="110">
        <f t="shared" si="500"/>
        <v>0</v>
      </c>
      <c r="BA152" s="110">
        <f t="shared" si="501"/>
        <v>0</v>
      </c>
      <c r="BB152" s="142">
        <v>0</v>
      </c>
      <c r="BD152" s="142">
        <f t="shared" si="502"/>
        <v>0</v>
      </c>
      <c r="BE152" s="142">
        <f t="shared" si="503"/>
        <v>0</v>
      </c>
      <c r="BF152" s="142">
        <f t="shared" si="504"/>
        <v>0</v>
      </c>
      <c r="BG152" s="142">
        <f t="shared" si="505"/>
        <v>0</v>
      </c>
      <c r="BH152" s="110">
        <v>0</v>
      </c>
      <c r="BI152" s="110">
        <v>0</v>
      </c>
      <c r="BL152" s="110">
        <f t="shared" si="526"/>
        <v>0</v>
      </c>
      <c r="BM152" s="110">
        <f t="shared" si="538"/>
        <v>0</v>
      </c>
      <c r="BN152" s="110">
        <f t="shared" si="539"/>
        <v>0</v>
      </c>
      <c r="BO152" s="110">
        <v>0</v>
      </c>
      <c r="BP152" s="129"/>
      <c r="BQ152" s="110">
        <f t="shared" si="540"/>
        <v>0</v>
      </c>
      <c r="BR152" s="110">
        <f t="shared" si="541"/>
        <v>0</v>
      </c>
      <c r="BS152" s="110">
        <f t="shared" si="542"/>
        <v>0</v>
      </c>
      <c r="BT152" s="110">
        <f t="shared" si="543"/>
        <v>0</v>
      </c>
      <c r="BU152" s="110">
        <f t="shared" si="579"/>
        <v>0</v>
      </c>
      <c r="BV152" s="110">
        <f t="shared" si="580"/>
        <v>0</v>
      </c>
      <c r="CA152" s="110">
        <f t="shared" si="544"/>
        <v>0</v>
      </c>
      <c r="CB152" s="110">
        <f t="shared" si="545"/>
        <v>0</v>
      </c>
    </row>
    <row r="153" spans="1:80" ht="36" x14ac:dyDescent="0.3">
      <c r="A153" s="13">
        <v>15</v>
      </c>
      <c r="B153" s="13"/>
      <c r="C153" s="14"/>
      <c r="D153" s="15" t="s">
        <v>242</v>
      </c>
      <c r="E153" s="16"/>
      <c r="F153" s="82">
        <v>0</v>
      </c>
      <c r="G153" s="82">
        <v>0</v>
      </c>
      <c r="H153" s="82">
        <v>0</v>
      </c>
      <c r="I153" s="17">
        <v>0</v>
      </c>
      <c r="J153" s="87"/>
      <c r="K153" s="88"/>
      <c r="L153" s="88"/>
      <c r="M153" s="88">
        <f t="shared" si="531"/>
        <v>0</v>
      </c>
      <c r="N153" s="88"/>
      <c r="O153" s="88"/>
      <c r="P153" s="88"/>
      <c r="Q153" s="88">
        <f t="shared" si="572"/>
        <v>0</v>
      </c>
      <c r="R153" s="88">
        <f t="shared" si="533"/>
        <v>0</v>
      </c>
      <c r="S153" s="88"/>
      <c r="V153" s="17">
        <f t="shared" si="581"/>
        <v>0</v>
      </c>
      <c r="W153" s="17">
        <f t="shared" si="582"/>
        <v>0</v>
      </c>
      <c r="X153" s="110">
        <f t="shared" si="506"/>
        <v>0</v>
      </c>
      <c r="Y153" s="110">
        <f t="shared" si="507"/>
        <v>0</v>
      </c>
      <c r="Z153" s="110">
        <v>0</v>
      </c>
      <c r="AA153" s="110"/>
      <c r="AB153" s="110">
        <f t="shared" si="508"/>
        <v>0</v>
      </c>
      <c r="AC153" s="111">
        <f t="shared" si="509"/>
        <v>0</v>
      </c>
      <c r="AD153" s="110">
        <f t="shared" si="577"/>
        <v>0</v>
      </c>
      <c r="AE153" s="110">
        <f t="shared" si="578"/>
        <v>0</v>
      </c>
      <c r="AF153" s="110">
        <f t="shared" si="510"/>
        <v>0</v>
      </c>
      <c r="AG153" s="110">
        <f t="shared" si="511"/>
        <v>0</v>
      </c>
      <c r="AH153" s="110">
        <f t="shared" si="512"/>
        <v>0</v>
      </c>
      <c r="AI153" s="129">
        <f t="shared" si="513"/>
        <v>0</v>
      </c>
      <c r="AJ153" s="110">
        <f t="shared" si="514"/>
        <v>0</v>
      </c>
      <c r="AM153" s="110">
        <f t="shared" si="515"/>
        <v>0</v>
      </c>
      <c r="AN153" s="110">
        <f t="shared" si="516"/>
        <v>0</v>
      </c>
      <c r="AQ153" s="110">
        <f t="shared" si="517"/>
        <v>0</v>
      </c>
      <c r="AR153" s="110">
        <f t="shared" si="518"/>
        <v>0</v>
      </c>
      <c r="AU153" s="110">
        <f t="shared" si="401"/>
        <v>0</v>
      </c>
      <c r="AV153" s="110">
        <f t="shared" si="525"/>
        <v>0</v>
      </c>
      <c r="AY153" s="110">
        <f t="shared" si="499"/>
        <v>0</v>
      </c>
      <c r="AZ153" s="110">
        <f t="shared" si="500"/>
        <v>0</v>
      </c>
      <c r="BA153" s="110">
        <f t="shared" si="501"/>
        <v>0</v>
      </c>
      <c r="BB153" s="142">
        <v>0</v>
      </c>
      <c r="BD153" s="142">
        <f t="shared" si="502"/>
        <v>0</v>
      </c>
      <c r="BE153" s="142">
        <f t="shared" si="503"/>
        <v>0</v>
      </c>
      <c r="BF153" s="142">
        <f t="shared" si="504"/>
        <v>0</v>
      </c>
      <c r="BG153" s="142">
        <f t="shared" si="505"/>
        <v>0</v>
      </c>
      <c r="BH153" s="110">
        <v>0</v>
      </c>
      <c r="BI153" s="110">
        <v>0</v>
      </c>
      <c r="BL153" s="110">
        <f t="shared" si="526"/>
        <v>0</v>
      </c>
      <c r="BM153" s="110">
        <f t="shared" si="538"/>
        <v>0</v>
      </c>
      <c r="BN153" s="110">
        <f t="shared" si="539"/>
        <v>0</v>
      </c>
      <c r="BO153" s="110">
        <v>0</v>
      </c>
      <c r="BP153" s="129"/>
      <c r="BQ153" s="110">
        <f t="shared" si="540"/>
        <v>0</v>
      </c>
      <c r="BR153" s="110">
        <f t="shared" si="541"/>
        <v>0</v>
      </c>
      <c r="BS153" s="110">
        <f t="shared" si="542"/>
        <v>0</v>
      </c>
      <c r="BT153" s="110">
        <f t="shared" si="543"/>
        <v>0</v>
      </c>
      <c r="BU153" s="110">
        <f t="shared" si="579"/>
        <v>0</v>
      </c>
      <c r="BV153" s="110">
        <f t="shared" si="580"/>
        <v>0</v>
      </c>
      <c r="CA153" s="110">
        <f t="shared" si="544"/>
        <v>0</v>
      </c>
      <c r="CB153" s="110">
        <f t="shared" si="545"/>
        <v>0</v>
      </c>
    </row>
    <row r="154" spans="1:80" ht="36" x14ac:dyDescent="0.3">
      <c r="A154" s="13">
        <v>16</v>
      </c>
      <c r="B154" s="13"/>
      <c r="C154" s="14"/>
      <c r="D154" s="15" t="s">
        <v>243</v>
      </c>
      <c r="E154" s="16"/>
      <c r="F154" s="82">
        <v>0</v>
      </c>
      <c r="G154" s="82">
        <v>0</v>
      </c>
      <c r="H154" s="82">
        <v>0</v>
      </c>
      <c r="I154" s="17">
        <v>0</v>
      </c>
      <c r="J154" s="87"/>
      <c r="K154" s="88"/>
      <c r="L154" s="88"/>
      <c r="M154" s="88">
        <f t="shared" si="531"/>
        <v>0</v>
      </c>
      <c r="N154" s="88"/>
      <c r="O154" s="88"/>
      <c r="P154" s="88"/>
      <c r="Q154" s="88">
        <f t="shared" si="572"/>
        <v>0</v>
      </c>
      <c r="R154" s="88">
        <f t="shared" si="533"/>
        <v>0</v>
      </c>
      <c r="S154" s="88"/>
      <c r="V154" s="17">
        <f t="shared" si="581"/>
        <v>0</v>
      </c>
      <c r="W154" s="17">
        <f t="shared" si="582"/>
        <v>0</v>
      </c>
      <c r="X154" s="110">
        <f t="shared" si="506"/>
        <v>0</v>
      </c>
      <c r="Y154" s="110">
        <f t="shared" si="507"/>
        <v>0</v>
      </c>
      <c r="Z154" s="110">
        <v>0</v>
      </c>
      <c r="AA154" s="110"/>
      <c r="AB154" s="110">
        <f t="shared" si="508"/>
        <v>0</v>
      </c>
      <c r="AC154" s="111">
        <f t="shared" si="509"/>
        <v>0</v>
      </c>
      <c r="AD154" s="110">
        <f t="shared" si="577"/>
        <v>0</v>
      </c>
      <c r="AE154" s="110">
        <f t="shared" si="578"/>
        <v>0</v>
      </c>
      <c r="AF154" s="110">
        <f t="shared" si="510"/>
        <v>0</v>
      </c>
      <c r="AG154" s="110">
        <f t="shared" si="511"/>
        <v>0</v>
      </c>
      <c r="AH154" s="110">
        <f t="shared" si="512"/>
        <v>0</v>
      </c>
      <c r="AI154" s="129">
        <f t="shared" si="513"/>
        <v>0</v>
      </c>
      <c r="AJ154" s="110">
        <f t="shared" si="514"/>
        <v>0</v>
      </c>
      <c r="AM154" s="110">
        <f t="shared" si="515"/>
        <v>0</v>
      </c>
      <c r="AN154" s="110">
        <f t="shared" si="516"/>
        <v>0</v>
      </c>
      <c r="AQ154" s="110">
        <f t="shared" si="517"/>
        <v>0</v>
      </c>
      <c r="AR154" s="110">
        <f t="shared" si="518"/>
        <v>0</v>
      </c>
      <c r="AU154" s="110">
        <f t="shared" si="401"/>
        <v>0</v>
      </c>
      <c r="AV154" s="110">
        <f t="shared" si="525"/>
        <v>0</v>
      </c>
      <c r="AY154" s="110">
        <f t="shared" si="499"/>
        <v>0</v>
      </c>
      <c r="AZ154" s="110">
        <f t="shared" si="500"/>
        <v>0</v>
      </c>
      <c r="BA154" s="110">
        <f t="shared" si="501"/>
        <v>0</v>
      </c>
      <c r="BB154" s="142">
        <v>0</v>
      </c>
      <c r="BD154" s="142">
        <f t="shared" si="502"/>
        <v>0</v>
      </c>
      <c r="BE154" s="142">
        <f t="shared" si="503"/>
        <v>0</v>
      </c>
      <c r="BF154" s="142">
        <f t="shared" si="504"/>
        <v>0</v>
      </c>
      <c r="BG154" s="142">
        <f t="shared" si="505"/>
        <v>0</v>
      </c>
      <c r="BH154" s="110">
        <v>0</v>
      </c>
      <c r="BI154" s="110">
        <v>0</v>
      </c>
      <c r="BL154" s="110">
        <f t="shared" si="526"/>
        <v>0</v>
      </c>
      <c r="BM154" s="110">
        <f t="shared" si="538"/>
        <v>0</v>
      </c>
      <c r="BN154" s="110">
        <f t="shared" si="539"/>
        <v>0</v>
      </c>
      <c r="BO154" s="110">
        <v>0</v>
      </c>
      <c r="BP154" s="129"/>
      <c r="BQ154" s="110">
        <f t="shared" si="540"/>
        <v>0</v>
      </c>
      <c r="BR154" s="110">
        <f t="shared" si="541"/>
        <v>0</v>
      </c>
      <c r="BS154" s="110">
        <f t="shared" si="542"/>
        <v>0</v>
      </c>
      <c r="BT154" s="110">
        <f t="shared" si="543"/>
        <v>0</v>
      </c>
      <c r="BU154" s="110">
        <f t="shared" si="579"/>
        <v>0</v>
      </c>
      <c r="BV154" s="110">
        <f t="shared" si="580"/>
        <v>0</v>
      </c>
      <c r="CA154" s="110">
        <f t="shared" si="544"/>
        <v>0</v>
      </c>
      <c r="CB154" s="110">
        <f t="shared" si="545"/>
        <v>0</v>
      </c>
    </row>
    <row r="155" spans="1:80" ht="18" x14ac:dyDescent="0.3">
      <c r="A155" s="13">
        <v>17</v>
      </c>
      <c r="B155" s="13"/>
      <c r="C155" s="14"/>
      <c r="D155" s="15" t="s">
        <v>244</v>
      </c>
      <c r="E155" s="16"/>
      <c r="F155" s="82">
        <v>0</v>
      </c>
      <c r="G155" s="82">
        <v>0</v>
      </c>
      <c r="H155" s="82">
        <v>0</v>
      </c>
      <c r="I155" s="17">
        <v>0</v>
      </c>
      <c r="J155" s="87"/>
      <c r="K155" s="88"/>
      <c r="L155" s="88"/>
      <c r="M155" s="88">
        <f t="shared" si="531"/>
        <v>0</v>
      </c>
      <c r="N155" s="88"/>
      <c r="O155" s="88"/>
      <c r="P155" s="88"/>
      <c r="Q155" s="88">
        <f t="shared" si="572"/>
        <v>0</v>
      </c>
      <c r="R155" s="88">
        <f t="shared" si="533"/>
        <v>0</v>
      </c>
      <c r="S155" s="88"/>
      <c r="V155" s="17">
        <f t="shared" si="581"/>
        <v>0</v>
      </c>
      <c r="W155" s="17">
        <f t="shared" si="582"/>
        <v>0</v>
      </c>
      <c r="X155" s="110">
        <f t="shared" si="506"/>
        <v>0</v>
      </c>
      <c r="Y155" s="110">
        <f t="shared" si="507"/>
        <v>0</v>
      </c>
      <c r="Z155" s="110">
        <v>0</v>
      </c>
      <c r="AA155" s="110"/>
      <c r="AB155" s="110">
        <f t="shared" si="508"/>
        <v>0</v>
      </c>
      <c r="AC155" s="111">
        <f t="shared" si="509"/>
        <v>0</v>
      </c>
      <c r="AD155" s="110">
        <f t="shared" si="577"/>
        <v>0</v>
      </c>
      <c r="AE155" s="110">
        <f t="shared" si="578"/>
        <v>0</v>
      </c>
      <c r="AF155" s="110">
        <f t="shared" si="510"/>
        <v>0</v>
      </c>
      <c r="AG155" s="110">
        <f t="shared" si="511"/>
        <v>0</v>
      </c>
      <c r="AH155" s="110">
        <f t="shared" si="512"/>
        <v>0</v>
      </c>
      <c r="AI155" s="129">
        <f t="shared" si="513"/>
        <v>0</v>
      </c>
      <c r="AJ155" s="110">
        <f t="shared" si="514"/>
        <v>0</v>
      </c>
      <c r="AM155" s="110">
        <f t="shared" si="515"/>
        <v>0</v>
      </c>
      <c r="AN155" s="110">
        <f t="shared" si="516"/>
        <v>0</v>
      </c>
      <c r="AQ155" s="110">
        <f t="shared" si="517"/>
        <v>0</v>
      </c>
      <c r="AR155" s="110">
        <f t="shared" si="518"/>
        <v>0</v>
      </c>
      <c r="AU155" s="110">
        <f t="shared" ref="AU155:AU218" si="583">ROUND(AD155*25%,2)</f>
        <v>0</v>
      </c>
      <c r="AV155" s="110">
        <f t="shared" si="525"/>
        <v>0</v>
      </c>
      <c r="AY155" s="110">
        <f t="shared" si="499"/>
        <v>0</v>
      </c>
      <c r="AZ155" s="110">
        <f t="shared" si="500"/>
        <v>0</v>
      </c>
      <c r="BA155" s="110">
        <f t="shared" si="501"/>
        <v>0</v>
      </c>
      <c r="BB155" s="142">
        <v>0</v>
      </c>
      <c r="BD155" s="142">
        <f t="shared" si="502"/>
        <v>0</v>
      </c>
      <c r="BE155" s="142">
        <f t="shared" si="503"/>
        <v>0</v>
      </c>
      <c r="BF155" s="142">
        <f t="shared" si="504"/>
        <v>0</v>
      </c>
      <c r="BG155" s="142">
        <f t="shared" si="505"/>
        <v>0</v>
      </c>
      <c r="BH155" s="110">
        <v>0</v>
      </c>
      <c r="BI155" s="110">
        <v>0</v>
      </c>
      <c r="BL155" s="110">
        <f t="shared" si="526"/>
        <v>0</v>
      </c>
      <c r="BM155" s="110">
        <f t="shared" si="538"/>
        <v>0</v>
      </c>
      <c r="BN155" s="110">
        <f t="shared" si="539"/>
        <v>0</v>
      </c>
      <c r="BO155" s="110">
        <v>0</v>
      </c>
      <c r="BP155" s="129"/>
      <c r="BQ155" s="110">
        <f t="shared" si="540"/>
        <v>0</v>
      </c>
      <c r="BR155" s="110">
        <f t="shared" si="541"/>
        <v>0</v>
      </c>
      <c r="BS155" s="110">
        <f t="shared" si="542"/>
        <v>0</v>
      </c>
      <c r="BT155" s="110">
        <f t="shared" si="543"/>
        <v>0</v>
      </c>
      <c r="BU155" s="110">
        <f t="shared" si="579"/>
        <v>0</v>
      </c>
      <c r="BV155" s="110">
        <f t="shared" si="580"/>
        <v>0</v>
      </c>
      <c r="CA155" s="110">
        <f t="shared" si="544"/>
        <v>0</v>
      </c>
      <c r="CB155" s="110">
        <f t="shared" si="545"/>
        <v>0</v>
      </c>
    </row>
    <row r="156" spans="1:80" ht="18" x14ac:dyDescent="0.3">
      <c r="A156" s="18"/>
      <c r="B156" s="18" t="s">
        <v>245</v>
      </c>
      <c r="C156" s="19" t="s">
        <v>45</v>
      </c>
      <c r="D156" s="20" t="s">
        <v>236</v>
      </c>
      <c r="E156" s="21" t="s">
        <v>246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9">
        <f t="shared" ref="J156:AA156" si="584">+J147+J148+J150+J149+J151+J152+J153+J154+J155</f>
        <v>15499.7</v>
      </c>
      <c r="K156" s="89">
        <f t="shared" si="584"/>
        <v>0</v>
      </c>
      <c r="L156" s="89">
        <f t="shared" si="584"/>
        <v>0.3</v>
      </c>
      <c r="M156" s="89">
        <f t="shared" si="584"/>
        <v>15500</v>
      </c>
      <c r="N156" s="89">
        <f t="shared" si="584"/>
        <v>0</v>
      </c>
      <c r="O156" s="89">
        <f t="shared" si="584"/>
        <v>0</v>
      </c>
      <c r="P156" s="89">
        <f t="shared" si="584"/>
        <v>0</v>
      </c>
      <c r="Q156" s="89">
        <f t="shared" si="584"/>
        <v>0</v>
      </c>
      <c r="R156" s="89">
        <f t="shared" si="584"/>
        <v>15500</v>
      </c>
      <c r="S156" s="89">
        <f t="shared" si="584"/>
        <v>18500</v>
      </c>
      <c r="T156" s="89">
        <f t="shared" si="584"/>
        <v>0</v>
      </c>
      <c r="U156" s="89">
        <f t="shared" si="584"/>
        <v>0</v>
      </c>
      <c r="V156" s="89">
        <f t="shared" si="584"/>
        <v>14408.33</v>
      </c>
      <c r="W156" s="89">
        <f t="shared" si="584"/>
        <v>16790.66</v>
      </c>
      <c r="X156" s="89">
        <f t="shared" si="584"/>
        <v>1091.67</v>
      </c>
      <c r="Y156" s="89">
        <f t="shared" si="584"/>
        <v>1709.3400000000001</v>
      </c>
      <c r="Z156" s="89">
        <f t="shared" si="584"/>
        <v>14408.33</v>
      </c>
      <c r="AA156" s="89">
        <f t="shared" si="584"/>
        <v>0</v>
      </c>
      <c r="AB156" s="22">
        <f t="shared" si="508"/>
        <v>14408.33</v>
      </c>
      <c r="AC156" s="111">
        <f t="shared" si="509"/>
        <v>0</v>
      </c>
      <c r="AD156" s="22">
        <f t="shared" ref="AD156:CB156" si="585">+AD147+AD148+AD150+AD149+AD151+AD152+AD153+AD154+AD155</f>
        <v>14408.33</v>
      </c>
      <c r="AE156" s="22">
        <f t="shared" si="585"/>
        <v>16790.66</v>
      </c>
      <c r="AF156" s="22">
        <f t="shared" si="585"/>
        <v>16690.7</v>
      </c>
      <c r="AG156" s="22">
        <f t="shared" si="585"/>
        <v>3602</v>
      </c>
      <c r="AH156" s="22">
        <f t="shared" si="585"/>
        <v>4198</v>
      </c>
      <c r="AI156" s="120">
        <f t="shared" si="585"/>
        <v>1201</v>
      </c>
      <c r="AJ156" s="22">
        <f t="shared" si="585"/>
        <v>1399</v>
      </c>
      <c r="AK156" s="22">
        <f t="shared" si="585"/>
        <v>0</v>
      </c>
      <c r="AL156" s="22">
        <f t="shared" si="585"/>
        <v>0</v>
      </c>
      <c r="AM156" s="22">
        <f t="shared" si="585"/>
        <v>3602.08</v>
      </c>
      <c r="AN156" s="22">
        <f t="shared" si="585"/>
        <v>4088.53</v>
      </c>
      <c r="AO156" s="22">
        <f t="shared" si="585"/>
        <v>0</v>
      </c>
      <c r="AP156" s="22">
        <f t="shared" si="585"/>
        <v>0</v>
      </c>
      <c r="AQ156" s="22">
        <f t="shared" si="585"/>
        <v>7204.08</v>
      </c>
      <c r="AR156" s="22">
        <f t="shared" si="585"/>
        <v>8286.5300000000007</v>
      </c>
      <c r="AS156" s="22">
        <f t="shared" si="585"/>
        <v>0</v>
      </c>
      <c r="AT156" s="22">
        <f t="shared" si="585"/>
        <v>0</v>
      </c>
      <c r="AU156" s="22">
        <f t="shared" si="585"/>
        <v>3602.08</v>
      </c>
      <c r="AV156" s="22">
        <f t="shared" si="585"/>
        <v>4197.67</v>
      </c>
      <c r="AW156" s="22">
        <f t="shared" si="585"/>
        <v>0</v>
      </c>
      <c r="AX156" s="22">
        <f t="shared" si="585"/>
        <v>1000</v>
      </c>
      <c r="AY156" s="22">
        <f t="shared" si="585"/>
        <v>12007.16</v>
      </c>
      <c r="AZ156" s="22">
        <f t="shared" si="585"/>
        <v>14883.2</v>
      </c>
      <c r="BA156" s="22">
        <f t="shared" si="585"/>
        <v>26890.36</v>
      </c>
      <c r="BB156" s="22">
        <f t="shared" si="585"/>
        <v>11384.36</v>
      </c>
      <c r="BC156" s="22">
        <f t="shared" si="585"/>
        <v>14431.39</v>
      </c>
      <c r="BD156" s="22">
        <f t="shared" si="585"/>
        <v>622.79999999999927</v>
      </c>
      <c r="BE156" s="22">
        <f t="shared" si="585"/>
        <v>451.81000000000131</v>
      </c>
      <c r="BF156" s="22">
        <f t="shared" si="585"/>
        <v>2276.87</v>
      </c>
      <c r="BG156" s="120">
        <f t="shared" si="585"/>
        <v>2886.28</v>
      </c>
      <c r="BH156" s="120">
        <f t="shared" si="585"/>
        <v>827.04</v>
      </c>
      <c r="BI156" s="120">
        <f t="shared" si="585"/>
        <v>1165</v>
      </c>
      <c r="BJ156" s="120">
        <f t="shared" si="585"/>
        <v>0</v>
      </c>
      <c r="BK156" s="120">
        <f t="shared" si="585"/>
        <v>0</v>
      </c>
      <c r="BL156" s="120">
        <f t="shared" si="585"/>
        <v>12834.2</v>
      </c>
      <c r="BM156" s="120">
        <f t="shared" si="585"/>
        <v>16048.2</v>
      </c>
      <c r="BN156" s="120">
        <f t="shared" si="585"/>
        <v>28882.400000000001</v>
      </c>
      <c r="BO156" s="120">
        <f t="shared" si="585"/>
        <v>12592.16</v>
      </c>
      <c r="BP156" s="120">
        <f t="shared" si="585"/>
        <v>15992.41</v>
      </c>
      <c r="BQ156" s="22">
        <f t="shared" si="585"/>
        <v>242.04000000000087</v>
      </c>
      <c r="BR156" s="22">
        <f t="shared" si="585"/>
        <v>55.790000000000873</v>
      </c>
      <c r="BS156" s="22">
        <f t="shared" si="585"/>
        <v>1144.74</v>
      </c>
      <c r="BT156" s="22">
        <f t="shared" si="585"/>
        <v>1453.86</v>
      </c>
      <c r="BU156" s="22">
        <f t="shared" si="585"/>
        <v>902.7</v>
      </c>
      <c r="BV156" s="22">
        <f t="shared" si="585"/>
        <v>1358.56</v>
      </c>
      <c r="BW156" s="22">
        <f t="shared" si="585"/>
        <v>200</v>
      </c>
      <c r="BX156" s="22">
        <f t="shared" si="585"/>
        <v>350</v>
      </c>
      <c r="BY156" s="22">
        <f t="shared" si="585"/>
        <v>0</v>
      </c>
      <c r="BZ156" s="22">
        <f t="shared" si="585"/>
        <v>0</v>
      </c>
      <c r="CA156" s="22">
        <f t="shared" si="585"/>
        <v>13936.900000000001</v>
      </c>
      <c r="CB156" s="22">
        <f t="shared" si="585"/>
        <v>17756.760000000002</v>
      </c>
    </row>
    <row r="157" spans="1:80" ht="18" x14ac:dyDescent="0.3">
      <c r="A157" s="18">
        <v>18</v>
      </c>
      <c r="B157" s="18" t="s">
        <v>247</v>
      </c>
      <c r="C157" s="19" t="s">
        <v>94</v>
      </c>
      <c r="D157" s="20" t="s">
        <v>248</v>
      </c>
      <c r="E157" s="21" t="s">
        <v>249</v>
      </c>
      <c r="F157" s="82">
        <v>814.03</v>
      </c>
      <c r="G157" s="82">
        <v>19.7</v>
      </c>
      <c r="H157" s="82">
        <v>814.03</v>
      </c>
      <c r="I157" s="22">
        <v>19.7</v>
      </c>
      <c r="J157" s="89">
        <v>900</v>
      </c>
      <c r="K157" s="89">
        <v>0</v>
      </c>
      <c r="L157" s="89">
        <v>0</v>
      </c>
      <c r="M157" s="89">
        <f>+J157+L157+K157</f>
        <v>900</v>
      </c>
      <c r="N157" s="89">
        <v>0</v>
      </c>
      <c r="O157" s="89">
        <v>0</v>
      </c>
      <c r="P157" s="89">
        <v>0</v>
      </c>
      <c r="Q157" s="89">
        <f>+N157+P157+O157</f>
        <v>0</v>
      </c>
      <c r="R157" s="89">
        <f>+M157+Q157</f>
        <v>900</v>
      </c>
      <c r="S157" s="89">
        <v>85</v>
      </c>
      <c r="V157" s="22">
        <f t="shared" ref="V157:V159" si="586">ROUND(H157*1.0583,2)</f>
        <v>861.49</v>
      </c>
      <c r="W157" s="22">
        <f t="shared" ref="W157:W159" si="587">ROUND(I157*1.0327,2)</f>
        <v>20.34</v>
      </c>
      <c r="X157" s="22">
        <f t="shared" si="506"/>
        <v>38.509999999999991</v>
      </c>
      <c r="Y157" s="22">
        <f t="shared" si="507"/>
        <v>64.66</v>
      </c>
      <c r="Z157" s="22">
        <v>861.49</v>
      </c>
      <c r="AA157" s="22"/>
      <c r="AB157" s="22">
        <f t="shared" si="508"/>
        <v>861.49</v>
      </c>
      <c r="AC157" s="111">
        <f t="shared" si="509"/>
        <v>0</v>
      </c>
      <c r="AD157" s="22">
        <f t="shared" ref="AD157:AD158" si="588">IF(X157&gt;0,V157,R157)</f>
        <v>861.49</v>
      </c>
      <c r="AE157" s="22">
        <f>IF(Y157&gt;0,W157,S157)+128</f>
        <v>148.34</v>
      </c>
      <c r="AF157" s="22">
        <f t="shared" si="510"/>
        <v>76.69</v>
      </c>
      <c r="AG157" s="110">
        <f t="shared" si="511"/>
        <v>215</v>
      </c>
      <c r="AH157" s="110">
        <v>5</v>
      </c>
      <c r="AI157" s="129">
        <f t="shared" si="513"/>
        <v>72</v>
      </c>
      <c r="AJ157" s="110">
        <v>2</v>
      </c>
      <c r="AL157" s="146">
        <v>74</v>
      </c>
      <c r="AM157" s="110">
        <f t="shared" si="515"/>
        <v>215.37</v>
      </c>
      <c r="AN157" s="110">
        <f>ROUND(AE157*24.35%,2)+0.88</f>
        <v>37</v>
      </c>
      <c r="AQ157" s="110">
        <f t="shared" si="517"/>
        <v>430.37</v>
      </c>
      <c r="AR157" s="110">
        <f t="shared" si="518"/>
        <v>116</v>
      </c>
      <c r="AU157" s="110">
        <f t="shared" si="583"/>
        <v>215.37</v>
      </c>
      <c r="AV157" s="110">
        <f>ROUND(AE157*25%,2)-9.09</f>
        <v>28.000000000000004</v>
      </c>
      <c r="AY157" s="110">
        <f t="shared" si="499"/>
        <v>717.74</v>
      </c>
      <c r="AZ157" s="110">
        <f t="shared" si="500"/>
        <v>146</v>
      </c>
      <c r="BA157" s="110">
        <f t="shared" si="501"/>
        <v>863.74</v>
      </c>
      <c r="BB157" s="142">
        <v>663.39</v>
      </c>
      <c r="BC157" s="142">
        <v>141.47</v>
      </c>
      <c r="BD157" s="142">
        <f t="shared" si="502"/>
        <v>54.350000000000023</v>
      </c>
      <c r="BE157" s="142">
        <f t="shared" si="503"/>
        <v>4.5300000000000011</v>
      </c>
      <c r="BF157" s="142">
        <f t="shared" si="504"/>
        <v>132.68</v>
      </c>
      <c r="BG157" s="142">
        <f t="shared" si="505"/>
        <v>28.29</v>
      </c>
      <c r="BH157" s="110">
        <v>39.17</v>
      </c>
      <c r="BI157" s="110">
        <v>0</v>
      </c>
      <c r="BL157" s="110">
        <f t="shared" si="526"/>
        <v>756.91</v>
      </c>
      <c r="BM157" s="110">
        <f t="shared" si="538"/>
        <v>146</v>
      </c>
      <c r="BN157" s="110">
        <f t="shared" si="539"/>
        <v>902.91</v>
      </c>
      <c r="BO157" s="110">
        <v>736.51</v>
      </c>
      <c r="BP157" s="129">
        <v>143.18</v>
      </c>
      <c r="BQ157" s="110">
        <f t="shared" si="540"/>
        <v>20.399999999999977</v>
      </c>
      <c r="BR157" s="110">
        <f t="shared" si="541"/>
        <v>2.8199999999999932</v>
      </c>
      <c r="BS157" s="110">
        <f t="shared" si="542"/>
        <v>66.959999999999994</v>
      </c>
      <c r="BT157" s="110">
        <f t="shared" si="543"/>
        <v>13.02</v>
      </c>
      <c r="BU157" s="110">
        <f t="shared" si="579"/>
        <v>46.560000000000016</v>
      </c>
      <c r="BV157" s="110">
        <v>0</v>
      </c>
      <c r="BW157" s="111">
        <v>17.53</v>
      </c>
      <c r="CA157" s="110">
        <f t="shared" si="544"/>
        <v>821</v>
      </c>
      <c r="CB157" s="110">
        <f t="shared" si="545"/>
        <v>146</v>
      </c>
    </row>
    <row r="158" spans="1:80" ht="18" x14ac:dyDescent="0.3">
      <c r="A158" s="13">
        <v>19</v>
      </c>
      <c r="B158" s="13"/>
      <c r="C158" s="14"/>
      <c r="D158" s="15" t="s">
        <v>250</v>
      </c>
      <c r="E158" s="16"/>
      <c r="F158" s="82">
        <v>1077.29</v>
      </c>
      <c r="G158" s="82">
        <v>529.36</v>
      </c>
      <c r="H158" s="82">
        <v>1077.29</v>
      </c>
      <c r="I158" s="17">
        <v>529.36</v>
      </c>
      <c r="J158" s="87">
        <v>1103</v>
      </c>
      <c r="K158" s="88">
        <v>0</v>
      </c>
      <c r="L158" s="88">
        <v>0</v>
      </c>
      <c r="M158" s="88">
        <f t="shared" ref="M158:M159" si="589">J158+K158+L158</f>
        <v>1103</v>
      </c>
      <c r="N158" s="88">
        <v>0</v>
      </c>
      <c r="O158" s="88">
        <v>0</v>
      </c>
      <c r="P158" s="88">
        <v>0</v>
      </c>
      <c r="Q158" s="88">
        <f t="shared" ref="Q158:Q159" si="590">N158+O158+P158</f>
        <v>0</v>
      </c>
      <c r="R158" s="88">
        <f t="shared" ref="R158:R159" si="591">+Q158+M158</f>
        <v>1103</v>
      </c>
      <c r="S158" s="88">
        <v>300</v>
      </c>
      <c r="V158" s="17">
        <f t="shared" si="586"/>
        <v>1140.0999999999999</v>
      </c>
      <c r="W158" s="17">
        <f t="shared" si="587"/>
        <v>546.66999999999996</v>
      </c>
      <c r="X158" s="110">
        <f t="shared" si="506"/>
        <v>-37.099999999999909</v>
      </c>
      <c r="Y158" s="110">
        <f t="shared" si="507"/>
        <v>-246.66999999999996</v>
      </c>
      <c r="Z158" s="110">
        <v>1103</v>
      </c>
      <c r="AA158" s="110"/>
      <c r="AB158" s="110">
        <f t="shared" si="508"/>
        <v>1103</v>
      </c>
      <c r="AC158" s="111">
        <f t="shared" si="509"/>
        <v>0</v>
      </c>
      <c r="AD158" s="110">
        <f t="shared" si="588"/>
        <v>1103</v>
      </c>
      <c r="AE158" s="110">
        <f t="shared" ref="AE158" si="592">IF(Y158&gt;0,W158,S158)</f>
        <v>300</v>
      </c>
      <c r="AF158" s="110">
        <f t="shared" si="510"/>
        <v>270.66000000000003</v>
      </c>
      <c r="AG158" s="110">
        <f t="shared" si="511"/>
        <v>276</v>
      </c>
      <c r="AH158" s="110">
        <f t="shared" si="512"/>
        <v>75</v>
      </c>
      <c r="AI158" s="129">
        <f t="shared" si="513"/>
        <v>92</v>
      </c>
      <c r="AJ158" s="110">
        <f t="shared" si="514"/>
        <v>25</v>
      </c>
      <c r="AM158" s="110">
        <f t="shared" si="515"/>
        <v>275.75</v>
      </c>
      <c r="AN158" s="110">
        <f t="shared" si="516"/>
        <v>73.05</v>
      </c>
      <c r="AQ158" s="110">
        <f t="shared" si="517"/>
        <v>551.75</v>
      </c>
      <c r="AR158" s="110">
        <f t="shared" si="518"/>
        <v>148.05000000000001</v>
      </c>
      <c r="AU158" s="110">
        <f t="shared" si="583"/>
        <v>275.75</v>
      </c>
      <c r="AV158" s="110">
        <f>ROUND(AE158*25%,2)-48.05</f>
        <v>26.950000000000003</v>
      </c>
      <c r="AY158" s="110">
        <f t="shared" si="499"/>
        <v>919.5</v>
      </c>
      <c r="AZ158" s="110">
        <f t="shared" si="500"/>
        <v>200</v>
      </c>
      <c r="BA158" s="110">
        <f t="shared" si="501"/>
        <v>1119.5</v>
      </c>
      <c r="BB158" s="142">
        <v>886.02</v>
      </c>
      <c r="BC158" s="142">
        <v>188.33</v>
      </c>
      <c r="BD158" s="142">
        <f t="shared" si="502"/>
        <v>33.480000000000018</v>
      </c>
      <c r="BE158" s="142">
        <f t="shared" si="503"/>
        <v>11.669999999999987</v>
      </c>
      <c r="BF158" s="142">
        <f t="shared" si="504"/>
        <v>177.2</v>
      </c>
      <c r="BG158" s="142">
        <f t="shared" si="505"/>
        <v>37.67</v>
      </c>
      <c r="BH158" s="110">
        <v>71.86</v>
      </c>
      <c r="BI158" s="146">
        <v>33</v>
      </c>
      <c r="BJ158" s="146"/>
      <c r="BK158" s="146"/>
      <c r="BL158" s="110">
        <f t="shared" si="526"/>
        <v>991.36</v>
      </c>
      <c r="BM158" s="110">
        <f t="shared" si="538"/>
        <v>233</v>
      </c>
      <c r="BN158" s="110">
        <f t="shared" si="539"/>
        <v>1224.3600000000001</v>
      </c>
      <c r="BO158" s="110">
        <v>982.74</v>
      </c>
      <c r="BP158" s="129">
        <v>190.35</v>
      </c>
      <c r="BQ158" s="110">
        <f t="shared" si="540"/>
        <v>8.6200000000000045</v>
      </c>
      <c r="BR158" s="110">
        <f t="shared" si="541"/>
        <v>42.650000000000006</v>
      </c>
      <c r="BS158" s="110">
        <f t="shared" si="542"/>
        <v>89.34</v>
      </c>
      <c r="BT158" s="110">
        <f t="shared" si="543"/>
        <v>17.3</v>
      </c>
      <c r="BU158" s="146">
        <v>95</v>
      </c>
      <c r="BV158" s="111">
        <v>15</v>
      </c>
      <c r="BW158" s="111"/>
      <c r="BX158" s="111">
        <v>42</v>
      </c>
      <c r="BY158" s="111"/>
      <c r="BZ158" s="111"/>
      <c r="CA158" s="110">
        <f t="shared" si="544"/>
        <v>1086.3600000000001</v>
      </c>
      <c r="CB158" s="110">
        <f t="shared" si="545"/>
        <v>290</v>
      </c>
    </row>
    <row r="159" spans="1:80" ht="36" x14ac:dyDescent="0.3">
      <c r="A159" s="13">
        <v>20</v>
      </c>
      <c r="B159" s="13"/>
      <c r="C159" s="14"/>
      <c r="D159" s="15" t="s">
        <v>251</v>
      </c>
      <c r="E159" s="16"/>
      <c r="F159" s="82">
        <v>0</v>
      </c>
      <c r="G159" s="82">
        <v>0</v>
      </c>
      <c r="H159" s="82">
        <v>0</v>
      </c>
      <c r="I159" s="17">
        <v>0</v>
      </c>
      <c r="J159" s="87">
        <v>0</v>
      </c>
      <c r="K159" s="88">
        <v>0</v>
      </c>
      <c r="L159" s="88">
        <v>0</v>
      </c>
      <c r="M159" s="88">
        <f t="shared" si="589"/>
        <v>0</v>
      </c>
      <c r="N159" s="88">
        <v>0</v>
      </c>
      <c r="O159" s="88">
        <v>0</v>
      </c>
      <c r="P159" s="88">
        <v>0</v>
      </c>
      <c r="Q159" s="88">
        <f t="shared" si="590"/>
        <v>0</v>
      </c>
      <c r="R159" s="88">
        <f t="shared" si="591"/>
        <v>0</v>
      </c>
      <c r="S159" s="88">
        <v>0</v>
      </c>
      <c r="V159" s="17">
        <f t="shared" si="586"/>
        <v>0</v>
      </c>
      <c r="W159" s="17">
        <f t="shared" si="587"/>
        <v>0</v>
      </c>
      <c r="X159" s="110">
        <f t="shared" si="506"/>
        <v>0</v>
      </c>
      <c r="Y159" s="110">
        <f t="shared" si="507"/>
        <v>0</v>
      </c>
      <c r="Z159" s="110">
        <v>0</v>
      </c>
      <c r="AA159" s="110"/>
      <c r="AB159" s="110">
        <f t="shared" si="508"/>
        <v>0</v>
      </c>
      <c r="AC159" s="111">
        <f t="shared" si="509"/>
        <v>0</v>
      </c>
      <c r="AD159" s="110">
        <f t="shared" ref="AD159" si="593">IF(X159&gt;0,V159,R159)</f>
        <v>0</v>
      </c>
      <c r="AE159" s="110">
        <f t="shared" ref="AE159" si="594">IF(Y159&gt;0,W159,S159)</f>
        <v>0</v>
      </c>
      <c r="AF159" s="110">
        <f t="shared" si="510"/>
        <v>0</v>
      </c>
      <c r="AG159" s="110">
        <f t="shared" si="511"/>
        <v>0</v>
      </c>
      <c r="AH159" s="110">
        <f t="shared" si="512"/>
        <v>0</v>
      </c>
      <c r="AI159" s="129">
        <f t="shared" si="513"/>
        <v>0</v>
      </c>
      <c r="AJ159" s="110">
        <f t="shared" si="514"/>
        <v>0</v>
      </c>
      <c r="AM159" s="110">
        <f t="shared" si="515"/>
        <v>0</v>
      </c>
      <c r="AN159" s="110">
        <f t="shared" si="516"/>
        <v>0</v>
      </c>
      <c r="AQ159" s="110">
        <f t="shared" si="517"/>
        <v>0</v>
      </c>
      <c r="AR159" s="110">
        <f t="shared" si="518"/>
        <v>0</v>
      </c>
      <c r="AU159" s="110">
        <f t="shared" si="583"/>
        <v>0</v>
      </c>
      <c r="AV159" s="110">
        <f>ROUND(AE159*25%,2)</f>
        <v>0</v>
      </c>
      <c r="AY159" s="110">
        <f t="shared" si="499"/>
        <v>0</v>
      </c>
      <c r="AZ159" s="110">
        <f t="shared" si="500"/>
        <v>0</v>
      </c>
      <c r="BA159" s="110">
        <f t="shared" si="501"/>
        <v>0</v>
      </c>
      <c r="BB159" s="142">
        <v>0</v>
      </c>
      <c r="BD159" s="142">
        <f t="shared" si="502"/>
        <v>0</v>
      </c>
      <c r="BE159" s="142">
        <f t="shared" si="503"/>
        <v>0</v>
      </c>
      <c r="BF159" s="142">
        <f t="shared" si="504"/>
        <v>0</v>
      </c>
      <c r="BG159" s="142">
        <f t="shared" si="505"/>
        <v>0</v>
      </c>
      <c r="BH159" s="110">
        <v>0</v>
      </c>
      <c r="BI159" s="110">
        <v>0</v>
      </c>
      <c r="BL159" s="110">
        <f t="shared" si="526"/>
        <v>0</v>
      </c>
      <c r="BM159" s="110">
        <f t="shared" si="538"/>
        <v>0</v>
      </c>
      <c r="BN159" s="110">
        <f t="shared" si="539"/>
        <v>0</v>
      </c>
      <c r="BO159" s="110">
        <v>0</v>
      </c>
      <c r="BP159" s="129"/>
      <c r="BQ159" s="110">
        <f t="shared" si="540"/>
        <v>0</v>
      </c>
      <c r="BR159" s="110">
        <f t="shared" si="541"/>
        <v>0</v>
      </c>
      <c r="BS159" s="110">
        <f t="shared" si="542"/>
        <v>0</v>
      </c>
      <c r="BT159" s="110">
        <f t="shared" si="543"/>
        <v>0</v>
      </c>
      <c r="BU159" s="110">
        <f t="shared" si="579"/>
        <v>0</v>
      </c>
      <c r="BV159" s="110">
        <v>0</v>
      </c>
      <c r="CA159" s="110">
        <f t="shared" si="544"/>
        <v>0</v>
      </c>
      <c r="CB159" s="110">
        <f t="shared" si="545"/>
        <v>0</v>
      </c>
    </row>
    <row r="160" spans="1:80" ht="18" x14ac:dyDescent="0.3">
      <c r="A160" s="18"/>
      <c r="B160" s="18" t="s">
        <v>252</v>
      </c>
      <c r="C160" s="19" t="s">
        <v>118</v>
      </c>
      <c r="D160" s="20" t="s">
        <v>250</v>
      </c>
      <c r="E160" s="21" t="s">
        <v>253</v>
      </c>
      <c r="F160" s="22">
        <v>1077.29</v>
      </c>
      <c r="G160" s="22">
        <v>529.36</v>
      </c>
      <c r="H160" s="22">
        <v>1077.29</v>
      </c>
      <c r="I160" s="22">
        <v>529.36</v>
      </c>
      <c r="J160" s="89">
        <f t="shared" ref="J160:AA160" si="595">+J159+J158</f>
        <v>1103</v>
      </c>
      <c r="K160" s="89">
        <f t="shared" si="595"/>
        <v>0</v>
      </c>
      <c r="L160" s="89">
        <f t="shared" si="595"/>
        <v>0</v>
      </c>
      <c r="M160" s="89">
        <f t="shared" si="595"/>
        <v>1103</v>
      </c>
      <c r="N160" s="89">
        <f t="shared" si="595"/>
        <v>0</v>
      </c>
      <c r="O160" s="89">
        <f t="shared" si="595"/>
        <v>0</v>
      </c>
      <c r="P160" s="89">
        <f t="shared" si="595"/>
        <v>0</v>
      </c>
      <c r="Q160" s="89">
        <f t="shared" si="595"/>
        <v>0</v>
      </c>
      <c r="R160" s="89">
        <f t="shared" si="595"/>
        <v>1103</v>
      </c>
      <c r="S160" s="89">
        <f t="shared" si="595"/>
        <v>300</v>
      </c>
      <c r="T160" s="89">
        <f t="shared" si="595"/>
        <v>0</v>
      </c>
      <c r="U160" s="89">
        <f t="shared" si="595"/>
        <v>0</v>
      </c>
      <c r="V160" s="89">
        <f t="shared" si="595"/>
        <v>1140.0999999999999</v>
      </c>
      <c r="W160" s="89">
        <f t="shared" si="595"/>
        <v>546.66999999999996</v>
      </c>
      <c r="X160" s="89">
        <f t="shared" si="595"/>
        <v>-37.099999999999909</v>
      </c>
      <c r="Y160" s="89">
        <f t="shared" si="595"/>
        <v>-246.66999999999996</v>
      </c>
      <c r="Z160" s="89">
        <f t="shared" si="595"/>
        <v>1103</v>
      </c>
      <c r="AA160" s="89">
        <f t="shared" si="595"/>
        <v>0</v>
      </c>
      <c r="AB160" s="22">
        <f t="shared" si="508"/>
        <v>1103</v>
      </c>
      <c r="AC160" s="111">
        <f t="shared" si="509"/>
        <v>0</v>
      </c>
      <c r="AD160" s="22">
        <f t="shared" ref="AD160:CB160" si="596">+AD159+AD158</f>
        <v>1103</v>
      </c>
      <c r="AE160" s="22">
        <f t="shared" si="596"/>
        <v>300</v>
      </c>
      <c r="AF160" s="22">
        <f t="shared" si="596"/>
        <v>270.66000000000003</v>
      </c>
      <c r="AG160" s="22">
        <f t="shared" si="596"/>
        <v>276</v>
      </c>
      <c r="AH160" s="22">
        <f t="shared" si="596"/>
        <v>75</v>
      </c>
      <c r="AI160" s="120">
        <f t="shared" si="596"/>
        <v>92</v>
      </c>
      <c r="AJ160" s="22">
        <f t="shared" si="596"/>
        <v>25</v>
      </c>
      <c r="AK160" s="22">
        <f t="shared" si="596"/>
        <v>0</v>
      </c>
      <c r="AL160" s="22">
        <f t="shared" si="596"/>
        <v>0</v>
      </c>
      <c r="AM160" s="22">
        <f t="shared" si="596"/>
        <v>275.75</v>
      </c>
      <c r="AN160" s="22">
        <f t="shared" si="596"/>
        <v>73.05</v>
      </c>
      <c r="AO160" s="22">
        <f t="shared" si="596"/>
        <v>0</v>
      </c>
      <c r="AP160" s="22">
        <f t="shared" si="596"/>
        <v>0</v>
      </c>
      <c r="AQ160" s="22">
        <f t="shared" si="596"/>
        <v>551.75</v>
      </c>
      <c r="AR160" s="22">
        <f t="shared" si="596"/>
        <v>148.05000000000001</v>
      </c>
      <c r="AS160" s="22">
        <f t="shared" si="596"/>
        <v>0</v>
      </c>
      <c r="AT160" s="22">
        <f t="shared" si="596"/>
        <v>0</v>
      </c>
      <c r="AU160" s="22">
        <f t="shared" si="596"/>
        <v>275.75</v>
      </c>
      <c r="AV160" s="22">
        <f t="shared" si="596"/>
        <v>26.950000000000003</v>
      </c>
      <c r="AW160" s="22">
        <f t="shared" si="596"/>
        <v>0</v>
      </c>
      <c r="AX160" s="22">
        <f t="shared" si="596"/>
        <v>0</v>
      </c>
      <c r="AY160" s="22">
        <f t="shared" si="596"/>
        <v>919.5</v>
      </c>
      <c r="AZ160" s="22">
        <f t="shared" si="596"/>
        <v>200</v>
      </c>
      <c r="BA160" s="22">
        <f t="shared" si="596"/>
        <v>1119.5</v>
      </c>
      <c r="BB160" s="22">
        <f t="shared" si="596"/>
        <v>886.02</v>
      </c>
      <c r="BC160" s="22">
        <f t="shared" si="596"/>
        <v>188.33</v>
      </c>
      <c r="BD160" s="22">
        <f t="shared" si="596"/>
        <v>33.480000000000018</v>
      </c>
      <c r="BE160" s="22">
        <f t="shared" si="596"/>
        <v>11.669999999999987</v>
      </c>
      <c r="BF160" s="22">
        <f t="shared" si="596"/>
        <v>177.2</v>
      </c>
      <c r="BG160" s="120">
        <f t="shared" si="596"/>
        <v>37.67</v>
      </c>
      <c r="BH160" s="120">
        <f t="shared" si="596"/>
        <v>71.86</v>
      </c>
      <c r="BI160" s="120">
        <f t="shared" si="596"/>
        <v>33</v>
      </c>
      <c r="BJ160" s="120">
        <f t="shared" si="596"/>
        <v>0</v>
      </c>
      <c r="BK160" s="120">
        <f t="shared" si="596"/>
        <v>0</v>
      </c>
      <c r="BL160" s="120">
        <f t="shared" si="596"/>
        <v>991.36</v>
      </c>
      <c r="BM160" s="120">
        <f t="shared" si="596"/>
        <v>233</v>
      </c>
      <c r="BN160" s="120">
        <f t="shared" si="596"/>
        <v>1224.3600000000001</v>
      </c>
      <c r="BO160" s="120">
        <f t="shared" si="596"/>
        <v>982.74</v>
      </c>
      <c r="BP160" s="120">
        <f t="shared" si="596"/>
        <v>190.35</v>
      </c>
      <c r="BQ160" s="22">
        <f t="shared" si="596"/>
        <v>8.6200000000000045</v>
      </c>
      <c r="BR160" s="22">
        <f t="shared" si="596"/>
        <v>42.650000000000006</v>
      </c>
      <c r="BS160" s="22">
        <f t="shared" si="596"/>
        <v>89.34</v>
      </c>
      <c r="BT160" s="22">
        <f t="shared" si="596"/>
        <v>17.3</v>
      </c>
      <c r="BU160" s="22">
        <f t="shared" si="596"/>
        <v>95</v>
      </c>
      <c r="BV160" s="22">
        <f t="shared" si="596"/>
        <v>15</v>
      </c>
      <c r="BW160" s="22">
        <f t="shared" si="596"/>
        <v>0</v>
      </c>
      <c r="BX160" s="22">
        <f t="shared" si="596"/>
        <v>42</v>
      </c>
      <c r="BY160" s="22">
        <f t="shared" si="596"/>
        <v>0</v>
      </c>
      <c r="BZ160" s="22">
        <f t="shared" si="596"/>
        <v>0</v>
      </c>
      <c r="CA160" s="22">
        <f t="shared" si="596"/>
        <v>1086.3600000000001</v>
      </c>
      <c r="CB160" s="22">
        <f t="shared" si="596"/>
        <v>290</v>
      </c>
    </row>
    <row r="161" spans="1:80" ht="18" x14ac:dyDescent="0.3">
      <c r="A161" s="18">
        <v>21</v>
      </c>
      <c r="B161" s="18" t="s">
        <v>254</v>
      </c>
      <c r="C161" s="19" t="s">
        <v>118</v>
      </c>
      <c r="D161" s="20" t="s">
        <v>255</v>
      </c>
      <c r="E161" s="21" t="s">
        <v>256</v>
      </c>
      <c r="F161" s="82">
        <v>8555.3900000000012</v>
      </c>
      <c r="G161" s="82">
        <v>9848.73</v>
      </c>
      <c r="H161" s="82">
        <v>8555.3900000000012</v>
      </c>
      <c r="I161" s="22">
        <v>9848.73</v>
      </c>
      <c r="J161" s="89">
        <v>9695</v>
      </c>
      <c r="K161" s="89">
        <v>0</v>
      </c>
      <c r="L161" s="89">
        <v>0</v>
      </c>
      <c r="M161" s="89">
        <f>+L161+K161+J161</f>
        <v>9695</v>
      </c>
      <c r="N161" s="89">
        <v>0</v>
      </c>
      <c r="O161" s="89">
        <v>0</v>
      </c>
      <c r="P161" s="89">
        <v>0</v>
      </c>
      <c r="Q161" s="89">
        <f>+P161+O161+N161</f>
        <v>0</v>
      </c>
      <c r="R161" s="89">
        <f>+Q161+M161</f>
        <v>9695</v>
      </c>
      <c r="S161" s="89">
        <v>12880</v>
      </c>
      <c r="V161" s="22">
        <f t="shared" ref="V161" si="597">ROUND(H161*1.0583,2)</f>
        <v>9054.17</v>
      </c>
      <c r="W161" s="22">
        <f t="shared" ref="W161" si="598">ROUND(I161*1.0327,2)</f>
        <v>10170.780000000001</v>
      </c>
      <c r="X161" s="22">
        <f t="shared" si="506"/>
        <v>640.82999999999993</v>
      </c>
      <c r="Y161" s="22">
        <f t="shared" si="507"/>
        <v>2709.2199999999993</v>
      </c>
      <c r="Z161" s="22">
        <v>9054.17</v>
      </c>
      <c r="AA161" s="22"/>
      <c r="AB161" s="22">
        <f t="shared" si="508"/>
        <v>9054.17</v>
      </c>
      <c r="AC161" s="111">
        <f t="shared" si="509"/>
        <v>0</v>
      </c>
      <c r="AD161" s="22">
        <f t="shared" ref="AD161:AD162" si="599">IF(X161&gt;0,V161,R161)</f>
        <v>9054.17</v>
      </c>
      <c r="AE161" s="22">
        <f t="shared" ref="AE161:AE162" si="600">IF(Y161&gt;0,W161,S161)</f>
        <v>10170.780000000001</v>
      </c>
      <c r="AF161" s="22">
        <f t="shared" si="510"/>
        <v>11620.34</v>
      </c>
      <c r="AG161" s="110">
        <f t="shared" si="511"/>
        <v>2264</v>
      </c>
      <c r="AH161" s="110">
        <f t="shared" si="512"/>
        <v>2543</v>
      </c>
      <c r="AI161" s="129">
        <f t="shared" si="513"/>
        <v>755</v>
      </c>
      <c r="AJ161" s="110">
        <f t="shared" si="514"/>
        <v>848</v>
      </c>
      <c r="AM161" s="110">
        <f t="shared" si="515"/>
        <v>2263.54</v>
      </c>
      <c r="AN161" s="110">
        <f>ROUND(AE161*24.35%,2)-20</f>
        <v>2456.58</v>
      </c>
      <c r="AQ161" s="110">
        <f t="shared" si="517"/>
        <v>4527.54</v>
      </c>
      <c r="AR161" s="110">
        <f t="shared" si="518"/>
        <v>4999.58</v>
      </c>
      <c r="AS161" s="118"/>
      <c r="AU161" s="110">
        <f t="shared" si="583"/>
        <v>2263.54</v>
      </c>
      <c r="AV161" s="110">
        <f t="shared" ref="AV161:AV169" si="601">ROUND(AE161*25%,2)</f>
        <v>2542.6999999999998</v>
      </c>
      <c r="AY161" s="110">
        <f t="shared" si="499"/>
        <v>7546.08</v>
      </c>
      <c r="AZ161" s="110">
        <f t="shared" si="500"/>
        <v>8390.2799999999988</v>
      </c>
      <c r="BA161" s="110">
        <f t="shared" si="501"/>
        <v>15936.359999999999</v>
      </c>
      <c r="BB161" s="142">
        <v>7153.57</v>
      </c>
      <c r="BC161" s="142">
        <v>8141.98</v>
      </c>
      <c r="BD161" s="142">
        <f t="shared" si="502"/>
        <v>392.51000000000022</v>
      </c>
      <c r="BE161" s="142">
        <f t="shared" si="503"/>
        <v>248.29999999999927</v>
      </c>
      <c r="BF161" s="142">
        <f t="shared" si="504"/>
        <v>1430.71</v>
      </c>
      <c r="BG161" s="142">
        <f t="shared" si="505"/>
        <v>1628.4</v>
      </c>
      <c r="BH161" s="146">
        <v>549.96</v>
      </c>
      <c r="BI161" s="110">
        <v>650</v>
      </c>
      <c r="BK161" s="110">
        <v>200</v>
      </c>
      <c r="BL161" s="110">
        <f t="shared" si="526"/>
        <v>8096.04</v>
      </c>
      <c r="BM161" s="110">
        <f t="shared" si="538"/>
        <v>9240.2799999999988</v>
      </c>
      <c r="BN161" s="110">
        <f t="shared" si="539"/>
        <v>17336.32</v>
      </c>
      <c r="BO161" s="110">
        <v>8010.2</v>
      </c>
      <c r="BP161" s="129">
        <v>8915.08</v>
      </c>
      <c r="BQ161" s="110">
        <f t="shared" si="540"/>
        <v>85.840000000000146</v>
      </c>
      <c r="BR161" s="110">
        <f t="shared" si="541"/>
        <v>325.19999999999891</v>
      </c>
      <c r="BS161" s="110">
        <f t="shared" si="542"/>
        <v>728.2</v>
      </c>
      <c r="BT161" s="110">
        <f t="shared" si="543"/>
        <v>810.46</v>
      </c>
      <c r="BU161" s="110">
        <f t="shared" si="579"/>
        <v>642.3599999999999</v>
      </c>
      <c r="BV161" s="111">
        <v>450</v>
      </c>
      <c r="BW161" s="111">
        <v>315.77</v>
      </c>
      <c r="BX161" s="111">
        <v>250</v>
      </c>
      <c r="BY161" s="111"/>
      <c r="BZ161" s="111"/>
      <c r="CA161" s="110">
        <f t="shared" si="544"/>
        <v>9054.17</v>
      </c>
      <c r="CB161" s="110">
        <f t="shared" si="545"/>
        <v>9940.2799999999988</v>
      </c>
    </row>
    <row r="162" spans="1:80" ht="18" x14ac:dyDescent="0.3">
      <c r="A162" s="13">
        <v>22</v>
      </c>
      <c r="B162" s="13"/>
      <c r="C162" s="14"/>
      <c r="D162" s="15" t="s">
        <v>257</v>
      </c>
      <c r="E162" s="16"/>
      <c r="F162" s="82">
        <v>1370.54</v>
      </c>
      <c r="G162" s="82">
        <v>43.22</v>
      </c>
      <c r="H162" s="82">
        <v>1370.54</v>
      </c>
      <c r="I162" s="17">
        <v>43.22</v>
      </c>
      <c r="J162" s="107">
        <v>1380</v>
      </c>
      <c r="K162" s="88"/>
      <c r="L162" s="88"/>
      <c r="M162" s="88">
        <f t="shared" ref="M162:M163" si="602">J162+K162+L162</f>
        <v>1380</v>
      </c>
      <c r="N162" s="88"/>
      <c r="O162" s="88"/>
      <c r="P162" s="88"/>
      <c r="Q162" s="88">
        <f t="shared" ref="Q162:Q163" si="603">N162+O162+P162</f>
        <v>0</v>
      </c>
      <c r="R162" s="88">
        <f t="shared" ref="R162:R163" si="604">+Q162+M162</f>
        <v>1380</v>
      </c>
      <c r="S162" s="88">
        <v>45</v>
      </c>
      <c r="V162" s="17">
        <f t="shared" ref="V162" si="605">ROUND(H162*1.0583,2)</f>
        <v>1450.44</v>
      </c>
      <c r="W162" s="17">
        <f t="shared" ref="W162" si="606">ROUND(I162*1.0327,2)</f>
        <v>44.63</v>
      </c>
      <c r="X162" s="110">
        <f t="shared" si="506"/>
        <v>-70.440000000000055</v>
      </c>
      <c r="Y162" s="110">
        <f t="shared" si="507"/>
        <v>0.36999999999999744</v>
      </c>
      <c r="Z162" s="110">
        <v>1380</v>
      </c>
      <c r="AA162" s="110"/>
      <c r="AB162" s="110">
        <f t="shared" si="508"/>
        <v>1380</v>
      </c>
      <c r="AC162" s="111">
        <f t="shared" si="509"/>
        <v>0</v>
      </c>
      <c r="AD162" s="110">
        <f t="shared" si="599"/>
        <v>1380</v>
      </c>
      <c r="AE162" s="110">
        <f t="shared" si="600"/>
        <v>44.63</v>
      </c>
      <c r="AF162" s="110">
        <f t="shared" si="510"/>
        <v>40.6</v>
      </c>
      <c r="AG162" s="110">
        <f t="shared" si="511"/>
        <v>345</v>
      </c>
      <c r="AH162" s="110">
        <f t="shared" si="512"/>
        <v>11</v>
      </c>
      <c r="AI162" s="129">
        <f t="shared" si="513"/>
        <v>115</v>
      </c>
      <c r="AJ162" s="110">
        <f t="shared" si="514"/>
        <v>4</v>
      </c>
      <c r="AM162" s="110">
        <f t="shared" si="515"/>
        <v>345</v>
      </c>
      <c r="AN162" s="110">
        <f t="shared" si="516"/>
        <v>10.87</v>
      </c>
      <c r="AO162" s="118"/>
      <c r="AP162" s="118"/>
      <c r="AQ162" s="118">
        <f t="shared" si="517"/>
        <v>690</v>
      </c>
      <c r="AR162" s="118">
        <f t="shared" si="518"/>
        <v>21.869999999999997</v>
      </c>
      <c r="AS162" s="118">
        <v>35</v>
      </c>
      <c r="AT162" s="118"/>
      <c r="AU162" s="118">
        <f t="shared" si="583"/>
        <v>345</v>
      </c>
      <c r="AV162" s="118">
        <f>ROUND(AE162*25%,2)-11.16</f>
        <v>0</v>
      </c>
      <c r="AW162" s="146">
        <v>80</v>
      </c>
      <c r="AX162" s="118"/>
      <c r="AY162" s="110">
        <f t="shared" si="499"/>
        <v>1265</v>
      </c>
      <c r="AZ162" s="110">
        <f t="shared" si="500"/>
        <v>25.869999999999997</v>
      </c>
      <c r="BA162" s="110">
        <f t="shared" si="501"/>
        <v>1290.8699999999999</v>
      </c>
      <c r="BB162" s="142">
        <v>1266.8900000000001</v>
      </c>
      <c r="BC162" s="142">
        <v>19.2</v>
      </c>
      <c r="BD162" s="142">
        <f t="shared" si="502"/>
        <v>-1.8900000000001</v>
      </c>
      <c r="BE162" s="142">
        <f t="shared" si="503"/>
        <v>6.6699999999999982</v>
      </c>
      <c r="BF162" s="142">
        <f t="shared" si="504"/>
        <v>253.38</v>
      </c>
      <c r="BG162" s="142">
        <f t="shared" si="505"/>
        <v>3.84</v>
      </c>
      <c r="BH162" s="110">
        <v>127.64</v>
      </c>
      <c r="BI162" s="110">
        <v>0</v>
      </c>
      <c r="BL162" s="110">
        <f t="shared" si="526"/>
        <v>1392.64</v>
      </c>
      <c r="BM162" s="110">
        <f t="shared" si="538"/>
        <v>25.869999999999997</v>
      </c>
      <c r="BN162" s="110">
        <f t="shared" si="539"/>
        <v>1418.51</v>
      </c>
      <c r="BO162" s="110">
        <v>1387.77</v>
      </c>
      <c r="BP162" s="129">
        <v>20.04</v>
      </c>
      <c r="BQ162" s="110">
        <f t="shared" si="540"/>
        <v>4.8700000000001182</v>
      </c>
      <c r="BR162" s="110">
        <f t="shared" si="541"/>
        <v>5.8299999999999983</v>
      </c>
      <c r="BS162" s="110">
        <f t="shared" si="542"/>
        <v>126.16</v>
      </c>
      <c r="BT162" s="110">
        <f t="shared" si="543"/>
        <v>1.82</v>
      </c>
      <c r="BU162" s="146">
        <v>130</v>
      </c>
      <c r="BV162" s="110">
        <v>0</v>
      </c>
      <c r="BW162" s="111">
        <v>6</v>
      </c>
      <c r="CA162" s="110">
        <f t="shared" si="544"/>
        <v>1528.64</v>
      </c>
      <c r="CB162" s="110">
        <f t="shared" si="545"/>
        <v>25.869999999999997</v>
      </c>
    </row>
    <row r="163" spans="1:80" ht="36" x14ac:dyDescent="0.3">
      <c r="A163" s="13">
        <v>23</v>
      </c>
      <c r="B163" s="13"/>
      <c r="C163" s="14"/>
      <c r="D163" s="15" t="s">
        <v>258</v>
      </c>
      <c r="E163" s="16"/>
      <c r="F163" s="82">
        <v>0</v>
      </c>
      <c r="G163" s="82">
        <v>0</v>
      </c>
      <c r="H163" s="82">
        <v>0</v>
      </c>
      <c r="I163" s="17">
        <v>0</v>
      </c>
      <c r="J163" s="87">
        <v>0</v>
      </c>
      <c r="K163" s="88"/>
      <c r="L163" s="88"/>
      <c r="M163" s="88">
        <f t="shared" si="602"/>
        <v>0</v>
      </c>
      <c r="N163" s="88"/>
      <c r="O163" s="88"/>
      <c r="P163" s="88"/>
      <c r="Q163" s="88">
        <f t="shared" si="603"/>
        <v>0</v>
      </c>
      <c r="R163" s="88">
        <f t="shared" si="604"/>
        <v>0</v>
      </c>
      <c r="S163" s="88">
        <v>0</v>
      </c>
      <c r="V163" s="17">
        <f t="shared" ref="V163" si="607">ROUND(H163*1.0583,2)</f>
        <v>0</v>
      </c>
      <c r="W163" s="17">
        <f t="shared" ref="W163" si="608">ROUND(I163*1.0327,2)</f>
        <v>0</v>
      </c>
      <c r="X163" s="110">
        <f t="shared" si="506"/>
        <v>0</v>
      </c>
      <c r="Y163" s="110">
        <f t="shared" si="507"/>
        <v>0</v>
      </c>
      <c r="Z163" s="110">
        <v>0</v>
      </c>
      <c r="AA163" s="110"/>
      <c r="AB163" s="110">
        <f t="shared" si="508"/>
        <v>0</v>
      </c>
      <c r="AC163" s="111">
        <f t="shared" si="509"/>
        <v>0</v>
      </c>
      <c r="AD163" s="110">
        <f t="shared" ref="AD163" si="609">IF(X163&gt;0,V163,R163)</f>
        <v>0</v>
      </c>
      <c r="AE163" s="110">
        <f t="shared" ref="AE163" si="610">IF(Y163&gt;0,W163,S163)</f>
        <v>0</v>
      </c>
      <c r="AF163" s="110">
        <f t="shared" si="510"/>
        <v>0</v>
      </c>
      <c r="AG163" s="110">
        <f t="shared" si="511"/>
        <v>0</v>
      </c>
      <c r="AH163" s="110">
        <f t="shared" si="512"/>
        <v>0</v>
      </c>
      <c r="AI163" s="129">
        <f t="shared" si="513"/>
        <v>0</v>
      </c>
      <c r="AJ163" s="110">
        <f t="shared" si="514"/>
        <v>0</v>
      </c>
      <c r="AM163" s="110">
        <f t="shared" si="515"/>
        <v>0</v>
      </c>
      <c r="AN163" s="110">
        <f t="shared" si="516"/>
        <v>0</v>
      </c>
      <c r="AO163" s="118"/>
      <c r="AP163" s="118"/>
      <c r="AQ163" s="118">
        <f t="shared" si="517"/>
        <v>0</v>
      </c>
      <c r="AR163" s="118">
        <f t="shared" si="518"/>
        <v>0</v>
      </c>
      <c r="AS163" s="118"/>
      <c r="AT163" s="118"/>
      <c r="AU163" s="118">
        <f t="shared" si="583"/>
        <v>0</v>
      </c>
      <c r="AV163" s="118">
        <f t="shared" si="601"/>
        <v>0</v>
      </c>
      <c r="AW163" s="118"/>
      <c r="AX163" s="118"/>
      <c r="AY163" s="110">
        <f t="shared" si="499"/>
        <v>0</v>
      </c>
      <c r="AZ163" s="110">
        <f t="shared" si="500"/>
        <v>0</v>
      </c>
      <c r="BA163" s="110">
        <f t="shared" si="501"/>
        <v>0</v>
      </c>
      <c r="BB163" s="142">
        <v>0</v>
      </c>
      <c r="BD163" s="142">
        <f t="shared" si="502"/>
        <v>0</v>
      </c>
      <c r="BE163" s="142">
        <f t="shared" si="503"/>
        <v>0</v>
      </c>
      <c r="BF163" s="142">
        <f t="shared" si="504"/>
        <v>0</v>
      </c>
      <c r="BG163" s="142">
        <f t="shared" si="505"/>
        <v>0</v>
      </c>
      <c r="BH163" s="110">
        <v>0</v>
      </c>
      <c r="BI163" s="110">
        <v>0</v>
      </c>
      <c r="BL163" s="110">
        <f t="shared" si="526"/>
        <v>0</v>
      </c>
      <c r="BM163" s="110">
        <f t="shared" si="538"/>
        <v>0</v>
      </c>
      <c r="BN163" s="110">
        <f t="shared" si="539"/>
        <v>0</v>
      </c>
      <c r="BO163" s="110">
        <v>0</v>
      </c>
      <c r="BP163" s="129"/>
      <c r="BQ163" s="110">
        <f t="shared" si="540"/>
        <v>0</v>
      </c>
      <c r="BR163" s="110">
        <f t="shared" si="541"/>
        <v>0</v>
      </c>
      <c r="BS163" s="110">
        <f t="shared" si="542"/>
        <v>0</v>
      </c>
      <c r="BT163" s="110">
        <f t="shared" si="543"/>
        <v>0</v>
      </c>
      <c r="BU163" s="110">
        <f t="shared" si="579"/>
        <v>0</v>
      </c>
      <c r="BV163" s="110">
        <v>0</v>
      </c>
      <c r="CA163" s="110">
        <f t="shared" si="544"/>
        <v>0</v>
      </c>
      <c r="CB163" s="110">
        <f t="shared" si="545"/>
        <v>0</v>
      </c>
    </row>
    <row r="164" spans="1:80" ht="18" x14ac:dyDescent="0.3">
      <c r="A164" s="18"/>
      <c r="B164" s="18" t="s">
        <v>259</v>
      </c>
      <c r="C164" s="19" t="s">
        <v>99</v>
      </c>
      <c r="D164" s="20" t="s">
        <v>257</v>
      </c>
      <c r="E164" s="21" t="s">
        <v>260</v>
      </c>
      <c r="F164" s="22">
        <v>1370.54</v>
      </c>
      <c r="G164" s="22">
        <v>43.22</v>
      </c>
      <c r="H164" s="22">
        <v>1370.54</v>
      </c>
      <c r="I164" s="22">
        <v>43.22</v>
      </c>
      <c r="J164" s="89">
        <f t="shared" ref="J164:AA164" si="611">+J162+J163</f>
        <v>1380</v>
      </c>
      <c r="K164" s="89">
        <f t="shared" si="611"/>
        <v>0</v>
      </c>
      <c r="L164" s="89">
        <f t="shared" si="611"/>
        <v>0</v>
      </c>
      <c r="M164" s="89">
        <f t="shared" si="611"/>
        <v>1380</v>
      </c>
      <c r="N164" s="89">
        <f t="shared" si="611"/>
        <v>0</v>
      </c>
      <c r="O164" s="89">
        <f t="shared" si="611"/>
        <v>0</v>
      </c>
      <c r="P164" s="89">
        <f t="shared" si="611"/>
        <v>0</v>
      </c>
      <c r="Q164" s="89">
        <f t="shared" si="611"/>
        <v>0</v>
      </c>
      <c r="R164" s="89">
        <f t="shared" si="611"/>
        <v>1380</v>
      </c>
      <c r="S164" s="89">
        <f t="shared" si="611"/>
        <v>45</v>
      </c>
      <c r="T164" s="89">
        <f t="shared" si="611"/>
        <v>0</v>
      </c>
      <c r="U164" s="89">
        <f t="shared" si="611"/>
        <v>0</v>
      </c>
      <c r="V164" s="89">
        <f t="shared" si="611"/>
        <v>1450.44</v>
      </c>
      <c r="W164" s="89">
        <f t="shared" si="611"/>
        <v>44.63</v>
      </c>
      <c r="X164" s="89">
        <f t="shared" si="611"/>
        <v>-70.440000000000055</v>
      </c>
      <c r="Y164" s="89">
        <f t="shared" si="611"/>
        <v>0.36999999999999744</v>
      </c>
      <c r="Z164" s="89">
        <f t="shared" si="611"/>
        <v>1380</v>
      </c>
      <c r="AA164" s="89">
        <f t="shared" si="611"/>
        <v>0</v>
      </c>
      <c r="AB164" s="22">
        <f t="shared" si="508"/>
        <v>1380</v>
      </c>
      <c r="AC164" s="111">
        <f t="shared" si="509"/>
        <v>0</v>
      </c>
      <c r="AD164" s="22">
        <f t="shared" ref="AD164:CB164" si="612">+AD162+AD163</f>
        <v>1380</v>
      </c>
      <c r="AE164" s="22">
        <f t="shared" si="612"/>
        <v>44.63</v>
      </c>
      <c r="AF164" s="22">
        <f t="shared" si="612"/>
        <v>40.6</v>
      </c>
      <c r="AG164" s="22">
        <f t="shared" si="612"/>
        <v>345</v>
      </c>
      <c r="AH164" s="22">
        <f t="shared" si="612"/>
        <v>11</v>
      </c>
      <c r="AI164" s="120">
        <f t="shared" si="612"/>
        <v>115</v>
      </c>
      <c r="AJ164" s="22">
        <f t="shared" si="612"/>
        <v>4</v>
      </c>
      <c r="AK164" s="22">
        <f t="shared" si="612"/>
        <v>0</v>
      </c>
      <c r="AL164" s="22">
        <f t="shared" si="612"/>
        <v>0</v>
      </c>
      <c r="AM164" s="22">
        <f t="shared" si="612"/>
        <v>345</v>
      </c>
      <c r="AN164" s="22">
        <f t="shared" si="612"/>
        <v>10.87</v>
      </c>
      <c r="AO164" s="22">
        <f t="shared" si="612"/>
        <v>0</v>
      </c>
      <c r="AP164" s="22">
        <f t="shared" si="612"/>
        <v>0</v>
      </c>
      <c r="AQ164" s="22">
        <f t="shared" si="612"/>
        <v>690</v>
      </c>
      <c r="AR164" s="22">
        <f t="shared" si="612"/>
        <v>21.869999999999997</v>
      </c>
      <c r="AS164" s="22">
        <f t="shared" si="612"/>
        <v>35</v>
      </c>
      <c r="AT164" s="22">
        <f t="shared" si="612"/>
        <v>0</v>
      </c>
      <c r="AU164" s="22">
        <f t="shared" si="612"/>
        <v>345</v>
      </c>
      <c r="AV164" s="22">
        <f t="shared" si="612"/>
        <v>0</v>
      </c>
      <c r="AW164" s="22">
        <f t="shared" si="612"/>
        <v>80</v>
      </c>
      <c r="AX164" s="22">
        <f t="shared" si="612"/>
        <v>0</v>
      </c>
      <c r="AY164" s="22">
        <f t="shared" si="612"/>
        <v>1265</v>
      </c>
      <c r="AZ164" s="22">
        <f t="shared" si="612"/>
        <v>25.869999999999997</v>
      </c>
      <c r="BA164" s="22">
        <f t="shared" si="612"/>
        <v>1290.8699999999999</v>
      </c>
      <c r="BB164" s="22">
        <f t="shared" si="612"/>
        <v>1266.8900000000001</v>
      </c>
      <c r="BC164" s="22">
        <f t="shared" si="612"/>
        <v>19.2</v>
      </c>
      <c r="BD164" s="22">
        <f t="shared" si="612"/>
        <v>-1.8900000000001</v>
      </c>
      <c r="BE164" s="22">
        <f t="shared" si="612"/>
        <v>6.6699999999999982</v>
      </c>
      <c r="BF164" s="22">
        <f t="shared" si="612"/>
        <v>253.38</v>
      </c>
      <c r="BG164" s="120">
        <f t="shared" si="612"/>
        <v>3.84</v>
      </c>
      <c r="BH164" s="120">
        <f t="shared" si="612"/>
        <v>127.64</v>
      </c>
      <c r="BI164" s="120">
        <f t="shared" si="612"/>
        <v>0</v>
      </c>
      <c r="BJ164" s="120">
        <f t="shared" si="612"/>
        <v>0</v>
      </c>
      <c r="BK164" s="120">
        <f t="shared" si="612"/>
        <v>0</v>
      </c>
      <c r="BL164" s="120">
        <f t="shared" si="612"/>
        <v>1392.64</v>
      </c>
      <c r="BM164" s="120">
        <f t="shared" si="612"/>
        <v>25.869999999999997</v>
      </c>
      <c r="BN164" s="120">
        <f t="shared" si="612"/>
        <v>1418.51</v>
      </c>
      <c r="BO164" s="120">
        <f t="shared" si="612"/>
        <v>1387.77</v>
      </c>
      <c r="BP164" s="120">
        <f t="shared" si="612"/>
        <v>20.04</v>
      </c>
      <c r="BQ164" s="22">
        <f t="shared" si="612"/>
        <v>4.8700000000001182</v>
      </c>
      <c r="BR164" s="22">
        <f t="shared" si="612"/>
        <v>5.8299999999999983</v>
      </c>
      <c r="BS164" s="22">
        <f t="shared" si="612"/>
        <v>126.16</v>
      </c>
      <c r="BT164" s="22">
        <f t="shared" si="612"/>
        <v>1.82</v>
      </c>
      <c r="BU164" s="22">
        <f t="shared" si="612"/>
        <v>130</v>
      </c>
      <c r="BV164" s="22">
        <f t="shared" si="612"/>
        <v>0</v>
      </c>
      <c r="BW164" s="22">
        <f t="shared" si="612"/>
        <v>6</v>
      </c>
      <c r="BX164" s="22">
        <f t="shared" si="612"/>
        <v>0</v>
      </c>
      <c r="BY164" s="22">
        <f t="shared" si="612"/>
        <v>0</v>
      </c>
      <c r="BZ164" s="22">
        <f t="shared" si="612"/>
        <v>0</v>
      </c>
      <c r="CA164" s="22">
        <f t="shared" si="612"/>
        <v>1528.64</v>
      </c>
      <c r="CB164" s="22">
        <f t="shared" si="612"/>
        <v>25.869999999999997</v>
      </c>
    </row>
    <row r="165" spans="1:80" ht="18" x14ac:dyDescent="0.3">
      <c r="A165" s="18">
        <v>24</v>
      </c>
      <c r="B165" s="18" t="s">
        <v>261</v>
      </c>
      <c r="C165" s="19" t="s">
        <v>85</v>
      </c>
      <c r="D165" s="20" t="s">
        <v>262</v>
      </c>
      <c r="E165" s="21" t="s">
        <v>263</v>
      </c>
      <c r="F165" s="82">
        <v>752.46999999999991</v>
      </c>
      <c r="G165" s="82">
        <v>149.69</v>
      </c>
      <c r="H165" s="82">
        <v>752.46999999999991</v>
      </c>
      <c r="I165" s="22">
        <v>149.69</v>
      </c>
      <c r="J165" s="89">
        <v>800</v>
      </c>
      <c r="K165" s="89">
        <v>90</v>
      </c>
      <c r="L165" s="89">
        <v>0</v>
      </c>
      <c r="M165" s="89">
        <f>+L165+K165+J165</f>
        <v>890</v>
      </c>
      <c r="N165" s="89">
        <v>0</v>
      </c>
      <c r="O165" s="89">
        <v>0</v>
      </c>
      <c r="P165" s="89">
        <v>0</v>
      </c>
      <c r="Q165" s="89">
        <f>+P165+O165+N165</f>
        <v>0</v>
      </c>
      <c r="R165" s="89">
        <f>+Q165+M165</f>
        <v>890</v>
      </c>
      <c r="S165" s="89">
        <v>100</v>
      </c>
      <c r="V165" s="22">
        <f t="shared" ref="V165:V166" si="613">ROUND(H165*1.0583,2)</f>
        <v>796.34</v>
      </c>
      <c r="W165" s="22">
        <f t="shared" ref="W165:W166" si="614">ROUND(I165*1.0327,2)</f>
        <v>154.58000000000001</v>
      </c>
      <c r="X165" s="22">
        <f t="shared" si="506"/>
        <v>93.659999999999968</v>
      </c>
      <c r="Y165" s="22">
        <f t="shared" si="507"/>
        <v>-54.580000000000013</v>
      </c>
      <c r="Z165" s="22">
        <v>796.34</v>
      </c>
      <c r="AA165" s="22"/>
      <c r="AB165" s="22">
        <f t="shared" si="508"/>
        <v>796.34</v>
      </c>
      <c r="AC165" s="111">
        <f t="shared" si="509"/>
        <v>0</v>
      </c>
      <c r="AD165" s="22">
        <f t="shared" ref="AD165:AD166" si="615">IF(X165&gt;0,V165,R165)</f>
        <v>796.34</v>
      </c>
      <c r="AE165" s="22">
        <f t="shared" ref="AE165" si="616">IF(Y165&gt;0,W165,S165)</f>
        <v>100</v>
      </c>
      <c r="AF165" s="22">
        <f t="shared" si="510"/>
        <v>90.22</v>
      </c>
      <c r="AG165" s="110">
        <f t="shared" si="511"/>
        <v>199</v>
      </c>
      <c r="AH165" s="110">
        <f t="shared" si="512"/>
        <v>25</v>
      </c>
      <c r="AI165" s="129">
        <f t="shared" si="513"/>
        <v>66</v>
      </c>
      <c r="AJ165" s="110">
        <f t="shared" si="514"/>
        <v>8</v>
      </c>
      <c r="AM165" s="110">
        <f>ROUND(AD165*25%,2)+70.91</f>
        <v>270</v>
      </c>
      <c r="AN165" s="110">
        <f>ROUND(AE165*24.35%,2)-14.35+40</f>
        <v>50</v>
      </c>
      <c r="AQ165" s="110">
        <f t="shared" si="517"/>
        <v>469</v>
      </c>
      <c r="AR165" s="110">
        <f t="shared" si="518"/>
        <v>75</v>
      </c>
      <c r="AT165" s="118"/>
      <c r="AU165" s="118">
        <f t="shared" si="583"/>
        <v>199.09</v>
      </c>
      <c r="AV165" s="118">
        <f t="shared" si="601"/>
        <v>25</v>
      </c>
      <c r="AW165" s="118"/>
      <c r="AX165" s="146">
        <v>50</v>
      </c>
      <c r="AY165" s="118">
        <f t="shared" si="499"/>
        <v>734.09</v>
      </c>
      <c r="AZ165" s="110">
        <f t="shared" si="500"/>
        <v>158</v>
      </c>
      <c r="BA165" s="110">
        <f t="shared" si="501"/>
        <v>892.09</v>
      </c>
      <c r="BB165" s="142">
        <v>688.32</v>
      </c>
      <c r="BC165" s="142">
        <v>150.68</v>
      </c>
      <c r="BD165" s="142">
        <f t="shared" si="502"/>
        <v>45.769999999999982</v>
      </c>
      <c r="BE165" s="142">
        <f t="shared" si="503"/>
        <v>7.3199999999999932</v>
      </c>
      <c r="BF165" s="142">
        <f t="shared" si="504"/>
        <v>137.66</v>
      </c>
      <c r="BG165" s="142">
        <f t="shared" si="505"/>
        <v>30.14</v>
      </c>
      <c r="BH165" s="110">
        <v>22.28</v>
      </c>
      <c r="BI165" s="110">
        <v>0</v>
      </c>
      <c r="BJ165" s="110">
        <v>30</v>
      </c>
      <c r="BL165" s="110">
        <f t="shared" si="526"/>
        <v>786.37</v>
      </c>
      <c r="BM165" s="110">
        <f t="shared" si="538"/>
        <v>158</v>
      </c>
      <c r="BN165" s="110">
        <f t="shared" si="539"/>
        <v>944.37</v>
      </c>
      <c r="BO165" s="110">
        <v>783.77</v>
      </c>
      <c r="BP165" s="129">
        <v>151.13999999999999</v>
      </c>
      <c r="BQ165" s="110">
        <f t="shared" si="540"/>
        <v>2.6000000000000227</v>
      </c>
      <c r="BR165" s="110">
        <f t="shared" si="541"/>
        <v>6.8600000000000136</v>
      </c>
      <c r="BS165" s="110">
        <f t="shared" si="542"/>
        <v>71.25</v>
      </c>
      <c r="BT165" s="110">
        <f t="shared" si="543"/>
        <v>13.74</v>
      </c>
      <c r="BU165" s="110">
        <f t="shared" si="579"/>
        <v>68.649999999999977</v>
      </c>
      <c r="BV165" s="110">
        <v>0</v>
      </c>
      <c r="BW165" s="111">
        <v>4</v>
      </c>
      <c r="BY165" s="110">
        <v>1.1599999999999999</v>
      </c>
      <c r="CA165" s="110">
        <f t="shared" si="544"/>
        <v>859.02</v>
      </c>
      <c r="CB165" s="110">
        <f>+BM165+BV165+BX165-BY165</f>
        <v>156.84</v>
      </c>
    </row>
    <row r="166" spans="1:80" ht="18" x14ac:dyDescent="0.3">
      <c r="A166" s="13">
        <v>25</v>
      </c>
      <c r="B166" s="13"/>
      <c r="C166" s="14"/>
      <c r="D166" s="56" t="s">
        <v>264</v>
      </c>
      <c r="E166" s="16"/>
      <c r="F166" s="82">
        <v>1017.7700000000001</v>
      </c>
      <c r="G166" s="82">
        <v>21.319999999999997</v>
      </c>
      <c r="H166" s="82">
        <v>1040.0900000000001</v>
      </c>
      <c r="I166" s="17">
        <v>1.999999999999998</v>
      </c>
      <c r="J166" s="87">
        <v>1085</v>
      </c>
      <c r="K166" s="88">
        <v>0</v>
      </c>
      <c r="L166" s="88">
        <v>0</v>
      </c>
      <c r="M166" s="88">
        <f t="shared" ref="M166:M167" si="617">J166+K166+L166</f>
        <v>1085</v>
      </c>
      <c r="N166" s="88">
        <v>0</v>
      </c>
      <c r="O166" s="88">
        <v>0</v>
      </c>
      <c r="P166" s="88">
        <v>0</v>
      </c>
      <c r="Q166" s="88">
        <f t="shared" ref="Q166:Q167" si="618">N166+O166+P166</f>
        <v>0</v>
      </c>
      <c r="R166" s="88">
        <f t="shared" ref="R166:R167" si="619">+Q166+M166</f>
        <v>1085</v>
      </c>
      <c r="S166" s="88">
        <v>2</v>
      </c>
      <c r="V166" s="17">
        <f t="shared" si="613"/>
        <v>1100.73</v>
      </c>
      <c r="W166" s="17">
        <f t="shared" si="614"/>
        <v>2.0699999999999998</v>
      </c>
      <c r="X166" s="110">
        <f t="shared" si="506"/>
        <v>-15.730000000000018</v>
      </c>
      <c r="Y166" s="110">
        <f t="shared" si="507"/>
        <v>-6.999999999999984E-2</v>
      </c>
      <c r="Z166" s="110">
        <v>1085</v>
      </c>
      <c r="AA166" s="110"/>
      <c r="AB166" s="110">
        <f t="shared" si="508"/>
        <v>1085</v>
      </c>
      <c r="AC166" s="111">
        <f t="shared" si="509"/>
        <v>0</v>
      </c>
      <c r="AD166" s="110">
        <f t="shared" si="615"/>
        <v>1085</v>
      </c>
      <c r="AE166" s="110">
        <f>IF(Y166&gt;0,W166,S166)+23</f>
        <v>25</v>
      </c>
      <c r="AF166" s="110">
        <f t="shared" si="510"/>
        <v>1.8</v>
      </c>
      <c r="AG166" s="110">
        <f t="shared" si="511"/>
        <v>271</v>
      </c>
      <c r="AH166" s="110">
        <v>25</v>
      </c>
      <c r="AI166" s="129">
        <f t="shared" si="513"/>
        <v>90</v>
      </c>
      <c r="AJ166" s="110">
        <v>0</v>
      </c>
      <c r="AM166" s="110">
        <f t="shared" si="515"/>
        <v>271.25</v>
      </c>
      <c r="AN166" s="110">
        <f>ROUND(AE166*24.35%,2)-6.09</f>
        <v>0</v>
      </c>
      <c r="AQ166" s="110">
        <f t="shared" si="517"/>
        <v>542.25</v>
      </c>
      <c r="AR166" s="110">
        <f t="shared" si="518"/>
        <v>25</v>
      </c>
      <c r="AT166" s="118"/>
      <c r="AU166" s="118">
        <f t="shared" si="583"/>
        <v>271.25</v>
      </c>
      <c r="AV166" s="118">
        <f>ROUND(AE166*25%,2)+9</f>
        <v>15.25</v>
      </c>
      <c r="AW166" s="146">
        <v>20</v>
      </c>
      <c r="AX166" s="118"/>
      <c r="AY166" s="118">
        <f t="shared" si="499"/>
        <v>923.5</v>
      </c>
      <c r="AZ166" s="110">
        <f t="shared" si="500"/>
        <v>40.25</v>
      </c>
      <c r="BA166" s="110">
        <f t="shared" si="501"/>
        <v>963.75</v>
      </c>
      <c r="BB166" s="142">
        <v>915.3</v>
      </c>
      <c r="BC166" s="142">
        <v>40.22</v>
      </c>
      <c r="BD166" s="142">
        <f t="shared" si="502"/>
        <v>8.2000000000000455</v>
      </c>
      <c r="BE166" s="142">
        <f t="shared" si="503"/>
        <v>3.0000000000001137E-2</v>
      </c>
      <c r="BF166" s="142">
        <f t="shared" si="504"/>
        <v>183.06</v>
      </c>
      <c r="BG166" s="142">
        <f t="shared" si="505"/>
        <v>8.0399999999999991</v>
      </c>
      <c r="BH166" s="146">
        <v>138.75</v>
      </c>
      <c r="BI166" s="146">
        <v>9.01</v>
      </c>
      <c r="BJ166" s="146"/>
      <c r="BK166" s="146"/>
      <c r="BL166" s="110">
        <f t="shared" si="526"/>
        <v>1062.25</v>
      </c>
      <c r="BM166" s="110">
        <f t="shared" si="538"/>
        <v>49.26</v>
      </c>
      <c r="BN166" s="110">
        <f t="shared" si="539"/>
        <v>1111.51</v>
      </c>
      <c r="BO166" s="110">
        <v>1009.24</v>
      </c>
      <c r="BP166" s="129">
        <v>40.35</v>
      </c>
      <c r="BQ166" s="110">
        <f t="shared" si="540"/>
        <v>53.009999999999991</v>
      </c>
      <c r="BR166" s="110">
        <f t="shared" si="541"/>
        <v>8.9099999999999966</v>
      </c>
      <c r="BS166" s="110">
        <f t="shared" si="542"/>
        <v>91.75</v>
      </c>
      <c r="BT166" s="110">
        <f t="shared" si="543"/>
        <v>3.67</v>
      </c>
      <c r="BU166" s="146">
        <f>BS166-BQ166+100.71</f>
        <v>139.44999999999999</v>
      </c>
      <c r="BV166" s="146">
        <v>9.76</v>
      </c>
      <c r="BW166" s="146"/>
      <c r="BX166" s="146"/>
      <c r="BY166" s="146"/>
      <c r="BZ166" s="146"/>
      <c r="CA166" s="110">
        <f t="shared" si="544"/>
        <v>1201.7</v>
      </c>
      <c r="CB166" s="110">
        <f t="shared" si="545"/>
        <v>59.019999999999996</v>
      </c>
    </row>
    <row r="167" spans="1:80" ht="36" x14ac:dyDescent="0.3">
      <c r="A167" s="44">
        <v>26</v>
      </c>
      <c r="B167" s="44"/>
      <c r="C167" s="45"/>
      <c r="D167" s="56" t="s">
        <v>265</v>
      </c>
      <c r="E167" s="57"/>
      <c r="F167" s="82">
        <v>0</v>
      </c>
      <c r="G167" s="82">
        <v>0</v>
      </c>
      <c r="H167" s="82">
        <v>0</v>
      </c>
      <c r="I167" s="58">
        <v>0</v>
      </c>
      <c r="J167" s="96">
        <v>0</v>
      </c>
      <c r="K167" s="88">
        <v>0</v>
      </c>
      <c r="L167" s="88">
        <v>0</v>
      </c>
      <c r="M167" s="88">
        <f t="shared" si="617"/>
        <v>0</v>
      </c>
      <c r="N167" s="88">
        <v>0</v>
      </c>
      <c r="O167" s="88">
        <v>0</v>
      </c>
      <c r="P167" s="88">
        <v>0</v>
      </c>
      <c r="Q167" s="88">
        <f t="shared" si="618"/>
        <v>0</v>
      </c>
      <c r="R167" s="88">
        <f t="shared" si="619"/>
        <v>0</v>
      </c>
      <c r="S167" s="88">
        <v>0</v>
      </c>
      <c r="V167" s="17">
        <f t="shared" ref="V167" si="620">ROUND(H167*1.0583,2)</f>
        <v>0</v>
      </c>
      <c r="W167" s="17">
        <f t="shared" ref="W167" si="621">ROUND(I167*1.0327,2)</f>
        <v>0</v>
      </c>
      <c r="X167" s="110">
        <f t="shared" si="506"/>
        <v>0</v>
      </c>
      <c r="Y167" s="110">
        <f t="shared" si="507"/>
        <v>0</v>
      </c>
      <c r="Z167" s="110">
        <v>0</v>
      </c>
      <c r="AA167" s="110"/>
      <c r="AB167" s="110">
        <f t="shared" si="508"/>
        <v>0</v>
      </c>
      <c r="AC167" s="111">
        <f t="shared" si="509"/>
        <v>0</v>
      </c>
      <c r="AD167" s="110">
        <f t="shared" ref="AD167" si="622">IF(X167&gt;0,V167,R167)</f>
        <v>0</v>
      </c>
      <c r="AE167" s="110">
        <f t="shared" ref="AE167" si="623">IF(Y167&gt;0,W167,S167)</f>
        <v>0</v>
      </c>
      <c r="AF167" s="110">
        <f t="shared" si="510"/>
        <v>0</v>
      </c>
      <c r="AG167" s="110">
        <f t="shared" si="511"/>
        <v>0</v>
      </c>
      <c r="AH167" s="110">
        <f t="shared" si="512"/>
        <v>0</v>
      </c>
      <c r="AI167" s="129">
        <f t="shared" si="513"/>
        <v>0</v>
      </c>
      <c r="AJ167" s="110">
        <f t="shared" si="514"/>
        <v>0</v>
      </c>
      <c r="AM167" s="110">
        <f t="shared" si="515"/>
        <v>0</v>
      </c>
      <c r="AN167" s="110">
        <f t="shared" si="516"/>
        <v>0</v>
      </c>
      <c r="AQ167" s="110">
        <f t="shared" si="517"/>
        <v>0</v>
      </c>
      <c r="AR167" s="110">
        <f t="shared" si="518"/>
        <v>0</v>
      </c>
      <c r="AU167" s="110">
        <f t="shared" si="583"/>
        <v>0</v>
      </c>
      <c r="AV167" s="110">
        <f t="shared" si="601"/>
        <v>0</v>
      </c>
      <c r="AY167" s="110">
        <f t="shared" si="499"/>
        <v>0</v>
      </c>
      <c r="AZ167" s="110">
        <f t="shared" si="500"/>
        <v>0</v>
      </c>
      <c r="BA167" s="110">
        <f t="shared" si="501"/>
        <v>0</v>
      </c>
      <c r="BB167" s="142">
        <v>0</v>
      </c>
      <c r="BD167" s="142">
        <f t="shared" si="502"/>
        <v>0</v>
      </c>
      <c r="BE167" s="142">
        <f t="shared" si="503"/>
        <v>0</v>
      </c>
      <c r="BF167" s="142">
        <f t="shared" si="504"/>
        <v>0</v>
      </c>
      <c r="BG167" s="142">
        <f t="shared" si="505"/>
        <v>0</v>
      </c>
      <c r="BH167" s="110">
        <v>0</v>
      </c>
      <c r="BI167" s="110">
        <v>0</v>
      </c>
      <c r="BL167" s="110">
        <f t="shared" si="526"/>
        <v>0</v>
      </c>
      <c r="BM167" s="110">
        <f t="shared" si="538"/>
        <v>0</v>
      </c>
      <c r="BN167" s="110">
        <f t="shared" si="539"/>
        <v>0</v>
      </c>
      <c r="BO167" s="110">
        <v>0</v>
      </c>
      <c r="BP167" s="129"/>
      <c r="BQ167" s="110">
        <f t="shared" si="540"/>
        <v>0</v>
      </c>
      <c r="BR167" s="110">
        <f t="shared" si="541"/>
        <v>0</v>
      </c>
      <c r="BS167" s="110">
        <f t="shared" si="542"/>
        <v>0</v>
      </c>
      <c r="BT167" s="110">
        <f t="shared" si="543"/>
        <v>0</v>
      </c>
      <c r="BU167" s="146">
        <f t="shared" si="579"/>
        <v>0</v>
      </c>
      <c r="BV167" s="146">
        <v>0</v>
      </c>
      <c r="BW167" s="146"/>
      <c r="BX167" s="146"/>
      <c r="BY167" s="146"/>
      <c r="BZ167" s="146"/>
      <c r="CA167" s="110">
        <f t="shared" si="544"/>
        <v>0</v>
      </c>
      <c r="CB167" s="110">
        <f t="shared" si="545"/>
        <v>0</v>
      </c>
    </row>
    <row r="168" spans="1:80" ht="18" x14ac:dyDescent="0.3">
      <c r="A168" s="18"/>
      <c r="B168" s="18" t="s">
        <v>266</v>
      </c>
      <c r="C168" s="19" t="s">
        <v>118</v>
      </c>
      <c r="D168" s="20" t="s">
        <v>264</v>
      </c>
      <c r="E168" s="21" t="s">
        <v>267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9">
        <f t="shared" ref="J168:AA168" si="624">+J166+J167</f>
        <v>1085</v>
      </c>
      <c r="K168" s="89">
        <f t="shared" si="624"/>
        <v>0</v>
      </c>
      <c r="L168" s="89">
        <f t="shared" si="624"/>
        <v>0</v>
      </c>
      <c r="M168" s="89">
        <f t="shared" si="624"/>
        <v>1085</v>
      </c>
      <c r="N168" s="89">
        <f t="shared" si="624"/>
        <v>0</v>
      </c>
      <c r="O168" s="89">
        <f t="shared" si="624"/>
        <v>0</v>
      </c>
      <c r="P168" s="89">
        <f t="shared" si="624"/>
        <v>0</v>
      </c>
      <c r="Q168" s="89">
        <f t="shared" si="624"/>
        <v>0</v>
      </c>
      <c r="R168" s="89">
        <f t="shared" si="624"/>
        <v>1085</v>
      </c>
      <c r="S168" s="89">
        <f t="shared" si="624"/>
        <v>2</v>
      </c>
      <c r="T168" s="89">
        <f t="shared" si="624"/>
        <v>0</v>
      </c>
      <c r="U168" s="89">
        <f t="shared" si="624"/>
        <v>0</v>
      </c>
      <c r="V168" s="89">
        <f t="shared" si="624"/>
        <v>1100.73</v>
      </c>
      <c r="W168" s="89">
        <f t="shared" si="624"/>
        <v>2.0699999999999998</v>
      </c>
      <c r="X168" s="89">
        <f t="shared" si="624"/>
        <v>-15.730000000000018</v>
      </c>
      <c r="Y168" s="89">
        <f t="shared" si="624"/>
        <v>-6.999999999999984E-2</v>
      </c>
      <c r="Z168" s="89">
        <f t="shared" si="624"/>
        <v>1085</v>
      </c>
      <c r="AA168" s="89">
        <f t="shared" si="624"/>
        <v>0</v>
      </c>
      <c r="AB168" s="22">
        <f t="shared" si="508"/>
        <v>1085</v>
      </c>
      <c r="AC168" s="111">
        <f t="shared" si="509"/>
        <v>0</v>
      </c>
      <c r="AD168" s="22">
        <f t="shared" ref="AD168:CB168" si="625">+AD166+AD167</f>
        <v>1085</v>
      </c>
      <c r="AE168" s="22">
        <f t="shared" si="625"/>
        <v>25</v>
      </c>
      <c r="AF168" s="22">
        <f t="shared" si="625"/>
        <v>1.8</v>
      </c>
      <c r="AG168" s="22">
        <f t="shared" si="625"/>
        <v>271</v>
      </c>
      <c r="AH168" s="22">
        <f t="shared" si="625"/>
        <v>25</v>
      </c>
      <c r="AI168" s="120">
        <f t="shared" si="625"/>
        <v>90</v>
      </c>
      <c r="AJ168" s="22">
        <f t="shared" si="625"/>
        <v>0</v>
      </c>
      <c r="AK168" s="22">
        <f t="shared" si="625"/>
        <v>0</v>
      </c>
      <c r="AL168" s="22">
        <f t="shared" si="625"/>
        <v>0</v>
      </c>
      <c r="AM168" s="22">
        <f t="shared" si="625"/>
        <v>271.25</v>
      </c>
      <c r="AN168" s="22">
        <f t="shared" si="625"/>
        <v>0</v>
      </c>
      <c r="AO168" s="22">
        <f t="shared" si="625"/>
        <v>0</v>
      </c>
      <c r="AP168" s="22">
        <f t="shared" si="625"/>
        <v>0</v>
      </c>
      <c r="AQ168" s="22">
        <f t="shared" si="625"/>
        <v>542.25</v>
      </c>
      <c r="AR168" s="22">
        <f t="shared" si="625"/>
        <v>25</v>
      </c>
      <c r="AS168" s="22">
        <f t="shared" si="625"/>
        <v>0</v>
      </c>
      <c r="AT168" s="22">
        <f t="shared" si="625"/>
        <v>0</v>
      </c>
      <c r="AU168" s="22">
        <f t="shared" si="625"/>
        <v>271.25</v>
      </c>
      <c r="AV168" s="22">
        <f t="shared" si="625"/>
        <v>15.25</v>
      </c>
      <c r="AW168" s="22">
        <f t="shared" si="625"/>
        <v>20</v>
      </c>
      <c r="AX168" s="22">
        <f t="shared" si="625"/>
        <v>0</v>
      </c>
      <c r="AY168" s="22">
        <f t="shared" si="625"/>
        <v>923.5</v>
      </c>
      <c r="AZ168" s="22">
        <f t="shared" si="625"/>
        <v>40.25</v>
      </c>
      <c r="BA168" s="22">
        <f t="shared" si="625"/>
        <v>963.75</v>
      </c>
      <c r="BB168" s="22">
        <f t="shared" si="625"/>
        <v>915.3</v>
      </c>
      <c r="BC168" s="22">
        <f t="shared" si="625"/>
        <v>40.22</v>
      </c>
      <c r="BD168" s="22">
        <f t="shared" si="625"/>
        <v>8.2000000000000455</v>
      </c>
      <c r="BE168" s="22">
        <f t="shared" si="625"/>
        <v>3.0000000000001137E-2</v>
      </c>
      <c r="BF168" s="22">
        <f t="shared" si="625"/>
        <v>183.06</v>
      </c>
      <c r="BG168" s="120">
        <f t="shared" si="625"/>
        <v>8.0399999999999991</v>
      </c>
      <c r="BH168" s="120">
        <f t="shared" si="625"/>
        <v>138.75</v>
      </c>
      <c r="BI168" s="120">
        <f t="shared" si="625"/>
        <v>9.01</v>
      </c>
      <c r="BJ168" s="120">
        <f t="shared" si="625"/>
        <v>0</v>
      </c>
      <c r="BK168" s="120">
        <f t="shared" si="625"/>
        <v>0</v>
      </c>
      <c r="BL168" s="120">
        <f t="shared" si="625"/>
        <v>1062.25</v>
      </c>
      <c r="BM168" s="120">
        <f t="shared" si="625"/>
        <v>49.26</v>
      </c>
      <c r="BN168" s="120">
        <f t="shared" si="625"/>
        <v>1111.51</v>
      </c>
      <c r="BO168" s="120">
        <f t="shared" si="625"/>
        <v>1009.24</v>
      </c>
      <c r="BP168" s="120">
        <f t="shared" si="625"/>
        <v>40.35</v>
      </c>
      <c r="BQ168" s="22">
        <f t="shared" si="625"/>
        <v>53.009999999999991</v>
      </c>
      <c r="BR168" s="22">
        <f t="shared" si="625"/>
        <v>8.9099999999999966</v>
      </c>
      <c r="BS168" s="22">
        <f t="shared" si="625"/>
        <v>91.75</v>
      </c>
      <c r="BT168" s="22">
        <f t="shared" si="625"/>
        <v>3.67</v>
      </c>
      <c r="BU168" s="22">
        <f t="shared" si="625"/>
        <v>139.44999999999999</v>
      </c>
      <c r="BV168" s="22">
        <f t="shared" si="625"/>
        <v>9.76</v>
      </c>
      <c r="BW168" s="22">
        <f t="shared" si="625"/>
        <v>0</v>
      </c>
      <c r="BX168" s="22">
        <f t="shared" si="625"/>
        <v>0</v>
      </c>
      <c r="BY168" s="22">
        <f t="shared" si="625"/>
        <v>0</v>
      </c>
      <c r="BZ168" s="22">
        <f t="shared" si="625"/>
        <v>0</v>
      </c>
      <c r="CA168" s="22">
        <f t="shared" si="625"/>
        <v>1201.7</v>
      </c>
      <c r="CB168" s="22">
        <f t="shared" si="625"/>
        <v>59.019999999999996</v>
      </c>
    </row>
    <row r="169" spans="1:80" ht="18" x14ac:dyDescent="0.3">
      <c r="A169" s="18">
        <v>27</v>
      </c>
      <c r="B169" s="18" t="s">
        <v>268</v>
      </c>
      <c r="C169" s="19" t="s">
        <v>89</v>
      </c>
      <c r="D169" s="20" t="s">
        <v>269</v>
      </c>
      <c r="E169" s="21" t="s">
        <v>270</v>
      </c>
      <c r="F169" s="82">
        <v>648.83999999999992</v>
      </c>
      <c r="G169" s="82">
        <v>144.13</v>
      </c>
      <c r="H169" s="82">
        <v>648.83999999999992</v>
      </c>
      <c r="I169" s="22">
        <v>144.13</v>
      </c>
      <c r="J169" s="89">
        <v>745</v>
      </c>
      <c r="K169" s="89">
        <v>0</v>
      </c>
      <c r="L169" s="89">
        <v>0</v>
      </c>
      <c r="M169" s="89">
        <f>+L169+K169+J169</f>
        <v>745</v>
      </c>
      <c r="N169" s="89">
        <v>0</v>
      </c>
      <c r="O169" s="89">
        <v>0</v>
      </c>
      <c r="P169" s="89">
        <v>0</v>
      </c>
      <c r="Q169" s="89">
        <f>+P169+O169+N169</f>
        <v>0</v>
      </c>
      <c r="R169" s="89">
        <f>+Q169+M169</f>
        <v>745</v>
      </c>
      <c r="S169" s="89">
        <v>10</v>
      </c>
      <c r="V169" s="22">
        <f t="shared" ref="V169:V170" si="626">ROUND(H169*1.0583,2)</f>
        <v>686.67</v>
      </c>
      <c r="W169" s="22">
        <f t="shared" ref="W169:W170" si="627">ROUND(I169*1.0327,2)</f>
        <v>148.84</v>
      </c>
      <c r="X169" s="22">
        <f t="shared" si="506"/>
        <v>58.330000000000041</v>
      </c>
      <c r="Y169" s="22">
        <f t="shared" si="507"/>
        <v>-138.84</v>
      </c>
      <c r="Z169" s="22">
        <v>686.67</v>
      </c>
      <c r="AA169" s="22"/>
      <c r="AB169" s="22">
        <f t="shared" si="508"/>
        <v>686.67</v>
      </c>
      <c r="AC169" s="111">
        <f t="shared" si="509"/>
        <v>0</v>
      </c>
      <c r="AD169" s="22">
        <f t="shared" ref="AD169:AD171" si="628">IF(X169&gt;0,V169,R169)</f>
        <v>686.67</v>
      </c>
      <c r="AE169" s="22">
        <f t="shared" ref="AE169:AE171" si="629">IF(Y169&gt;0,W169,S169)</f>
        <v>10</v>
      </c>
      <c r="AF169" s="22">
        <f t="shared" si="510"/>
        <v>9.02</v>
      </c>
      <c r="AG169" s="110">
        <f t="shared" si="511"/>
        <v>172</v>
      </c>
      <c r="AH169" s="110">
        <f t="shared" si="512"/>
        <v>3</v>
      </c>
      <c r="AI169" s="129">
        <f t="shared" si="513"/>
        <v>57</v>
      </c>
      <c r="AJ169" s="110">
        <f t="shared" si="514"/>
        <v>1</v>
      </c>
      <c r="AM169" s="110">
        <f t="shared" si="515"/>
        <v>171.67</v>
      </c>
      <c r="AN169" s="110">
        <f t="shared" si="516"/>
        <v>2.44</v>
      </c>
      <c r="AQ169" s="110">
        <f t="shared" si="517"/>
        <v>343.66999999999996</v>
      </c>
      <c r="AR169" s="110">
        <f t="shared" si="518"/>
        <v>5.4399999999999995</v>
      </c>
      <c r="AS169" s="154"/>
      <c r="AT169" s="141"/>
      <c r="AU169" s="141">
        <f t="shared" si="583"/>
        <v>171.67</v>
      </c>
      <c r="AV169" s="141">
        <f t="shared" si="601"/>
        <v>2.5</v>
      </c>
      <c r="AW169" s="145">
        <v>35</v>
      </c>
      <c r="AX169" s="146">
        <v>28</v>
      </c>
      <c r="AY169" s="118">
        <f t="shared" si="499"/>
        <v>607.33999999999992</v>
      </c>
      <c r="AZ169" s="110">
        <f t="shared" si="500"/>
        <v>36.94</v>
      </c>
      <c r="BA169" s="110">
        <f t="shared" si="501"/>
        <v>644.28</v>
      </c>
      <c r="BB169" s="142">
        <v>606.27</v>
      </c>
      <c r="BC169" s="142">
        <v>6.18</v>
      </c>
      <c r="BD169" s="142">
        <f t="shared" si="502"/>
        <v>1.0699999999999363</v>
      </c>
      <c r="BE169" s="142">
        <f t="shared" si="503"/>
        <v>30.759999999999998</v>
      </c>
      <c r="BF169" s="142">
        <f t="shared" si="504"/>
        <v>121.25</v>
      </c>
      <c r="BG169" s="142">
        <f t="shared" si="505"/>
        <v>1.24</v>
      </c>
      <c r="BH169" s="110">
        <v>41.33</v>
      </c>
      <c r="BI169" s="110">
        <v>0</v>
      </c>
      <c r="BJ169" s="110">
        <v>32</v>
      </c>
      <c r="BK169" s="110">
        <v>0</v>
      </c>
      <c r="BL169" s="110">
        <f t="shared" si="526"/>
        <v>680.67</v>
      </c>
      <c r="BM169" s="110">
        <f t="shared" si="538"/>
        <v>36.94</v>
      </c>
      <c r="BN169" s="110">
        <f t="shared" si="539"/>
        <v>717.6099999999999</v>
      </c>
      <c r="BO169" s="110">
        <v>680.36</v>
      </c>
      <c r="BP169" s="129">
        <v>6.73</v>
      </c>
      <c r="BQ169" s="110">
        <f t="shared" si="540"/>
        <v>0.30999999999994543</v>
      </c>
      <c r="BR169" s="110">
        <f t="shared" si="541"/>
        <v>30.209999999999997</v>
      </c>
      <c r="BS169" s="110">
        <f t="shared" si="542"/>
        <v>61.85</v>
      </c>
      <c r="BT169" s="110">
        <f t="shared" si="543"/>
        <v>0.61</v>
      </c>
      <c r="BU169" s="146">
        <v>86.19</v>
      </c>
      <c r="BV169" s="110">
        <v>0</v>
      </c>
      <c r="BY169" s="110">
        <v>29.69</v>
      </c>
      <c r="CA169" s="110">
        <f t="shared" si="544"/>
        <v>766.8599999999999</v>
      </c>
      <c r="CB169" s="110">
        <f>+BM169+BV169+BX169-BY169</f>
        <v>7.2499999999999964</v>
      </c>
    </row>
    <row r="170" spans="1:80" ht="18" x14ac:dyDescent="0.3">
      <c r="A170" s="18">
        <v>28</v>
      </c>
      <c r="B170" s="18" t="s">
        <v>271</v>
      </c>
      <c r="C170" s="19" t="s">
        <v>272</v>
      </c>
      <c r="D170" s="7" t="s">
        <v>273</v>
      </c>
      <c r="E170" s="21" t="s">
        <v>274</v>
      </c>
      <c r="F170" s="82">
        <v>433.95</v>
      </c>
      <c r="G170" s="82">
        <v>72.27</v>
      </c>
      <c r="H170" s="82">
        <v>433.95</v>
      </c>
      <c r="I170" s="22">
        <v>72.27</v>
      </c>
      <c r="J170" s="89">
        <v>0</v>
      </c>
      <c r="K170" s="89">
        <v>0</v>
      </c>
      <c r="L170" s="89">
        <v>0</v>
      </c>
      <c r="M170" s="89">
        <f>+L170+K170+J170</f>
        <v>0</v>
      </c>
      <c r="N170" s="89">
        <v>500</v>
      </c>
      <c r="O170" s="89">
        <v>50</v>
      </c>
      <c r="P170" s="89">
        <v>0</v>
      </c>
      <c r="Q170" s="89">
        <f>+P170+O170+N170</f>
        <v>550</v>
      </c>
      <c r="R170" s="89">
        <f>+Q170+M170</f>
        <v>550</v>
      </c>
      <c r="S170" s="89">
        <v>0</v>
      </c>
      <c r="V170" s="22">
        <f t="shared" si="626"/>
        <v>459.25</v>
      </c>
      <c r="W170" s="22">
        <f t="shared" si="627"/>
        <v>74.63</v>
      </c>
      <c r="X170" s="22">
        <f t="shared" si="506"/>
        <v>90.75</v>
      </c>
      <c r="Y170" s="22">
        <f t="shared" si="507"/>
        <v>-74.63</v>
      </c>
      <c r="Z170" s="22"/>
      <c r="AA170" s="22">
        <v>504.25</v>
      </c>
      <c r="AB170" s="22">
        <f t="shared" si="508"/>
        <v>504.25</v>
      </c>
      <c r="AC170" s="111">
        <f t="shared" si="509"/>
        <v>0</v>
      </c>
      <c r="AD170" s="22">
        <f>IF(X170&gt;0,V170,R170)+45</f>
        <v>504.25</v>
      </c>
      <c r="AE170" s="121">
        <f>IF(Y170&gt;0,W170,S170)+0.82</f>
        <v>0.82</v>
      </c>
      <c r="AF170" s="22">
        <f t="shared" si="510"/>
        <v>0</v>
      </c>
      <c r="AG170" s="110">
        <f t="shared" si="511"/>
        <v>126</v>
      </c>
      <c r="AH170" s="110">
        <f t="shared" si="512"/>
        <v>0</v>
      </c>
      <c r="AI170" s="129">
        <f t="shared" si="513"/>
        <v>42</v>
      </c>
      <c r="AJ170" s="110">
        <f t="shared" si="514"/>
        <v>0</v>
      </c>
      <c r="AL170" s="146">
        <v>0.82</v>
      </c>
      <c r="AM170" s="110">
        <f t="shared" si="515"/>
        <v>126.06</v>
      </c>
      <c r="AN170" s="110">
        <f>ROUND(AE170*24.35%,2)-0.2</f>
        <v>0</v>
      </c>
      <c r="AQ170" s="110">
        <f t="shared" si="517"/>
        <v>252.06</v>
      </c>
      <c r="AR170" s="110">
        <f t="shared" si="518"/>
        <v>0.82</v>
      </c>
      <c r="AS170" s="154"/>
      <c r="AT170" s="141"/>
      <c r="AU170" s="141">
        <f>ROUND(AD170*25%,2)-79.54</f>
        <v>46.519999999999996</v>
      </c>
      <c r="AV170" s="141">
        <f>ROUND(AE170*25%,2)-0.21</f>
        <v>0</v>
      </c>
      <c r="AW170" s="141"/>
      <c r="AX170" s="151"/>
      <c r="AY170" s="118">
        <f t="shared" si="499"/>
        <v>340.58</v>
      </c>
      <c r="AZ170" s="110">
        <f t="shared" si="500"/>
        <v>0.82</v>
      </c>
      <c r="BA170" s="110">
        <f t="shared" si="501"/>
        <v>341.4</v>
      </c>
      <c r="BB170" s="142">
        <v>334.91</v>
      </c>
      <c r="BC170" s="142">
        <v>0.81</v>
      </c>
      <c r="BD170" s="142">
        <f t="shared" si="502"/>
        <v>5.6699999999999591</v>
      </c>
      <c r="BE170" s="142">
        <f t="shared" si="503"/>
        <v>9.9999999999998979E-3</v>
      </c>
      <c r="BF170" s="142">
        <f t="shared" si="504"/>
        <v>66.98</v>
      </c>
      <c r="BG170" s="142">
        <f t="shared" si="505"/>
        <v>0.16</v>
      </c>
      <c r="BH170" s="146">
        <v>31.96</v>
      </c>
      <c r="BI170" s="110">
        <v>0</v>
      </c>
      <c r="BL170" s="110">
        <f t="shared" si="526"/>
        <v>372.53999999999996</v>
      </c>
      <c r="BM170" s="110">
        <f t="shared" si="538"/>
        <v>0.82</v>
      </c>
      <c r="BN170" s="110">
        <f t="shared" si="539"/>
        <v>373.35999999999996</v>
      </c>
      <c r="BO170" s="110">
        <v>366.98</v>
      </c>
      <c r="BP170" s="129">
        <v>0.81</v>
      </c>
      <c r="BQ170" s="110">
        <f t="shared" si="540"/>
        <v>5.5599999999999454</v>
      </c>
      <c r="BR170" s="110">
        <f t="shared" si="541"/>
        <v>9.9999999999998979E-3</v>
      </c>
      <c r="BS170" s="110">
        <f t="shared" si="542"/>
        <v>33.36</v>
      </c>
      <c r="BT170" s="110">
        <f t="shared" si="543"/>
        <v>7.0000000000000007E-2</v>
      </c>
      <c r="BU170" s="146">
        <v>30.96</v>
      </c>
      <c r="BV170" s="146">
        <v>0</v>
      </c>
      <c r="BW170" s="146"/>
      <c r="BX170" s="146"/>
      <c r="BY170" s="146"/>
      <c r="BZ170" s="146"/>
      <c r="CA170" s="110">
        <f t="shared" si="544"/>
        <v>403.49999999999994</v>
      </c>
      <c r="CB170" s="110">
        <f t="shared" si="545"/>
        <v>0.82</v>
      </c>
    </row>
    <row r="171" spans="1:80" ht="18" x14ac:dyDescent="0.3">
      <c r="A171" s="44">
        <v>29</v>
      </c>
      <c r="B171" s="44"/>
      <c r="C171" s="45"/>
      <c r="D171" s="56" t="s">
        <v>275</v>
      </c>
      <c r="E171" s="57"/>
      <c r="F171" s="82">
        <v>585.53</v>
      </c>
      <c r="G171" s="82">
        <v>0</v>
      </c>
      <c r="H171" s="82">
        <v>585.53</v>
      </c>
      <c r="I171" s="58">
        <v>0</v>
      </c>
      <c r="J171" s="96">
        <v>0</v>
      </c>
      <c r="K171" s="88">
        <v>0</v>
      </c>
      <c r="L171" s="88">
        <v>0</v>
      </c>
      <c r="M171" s="88">
        <f t="shared" ref="M171:M173" si="630">J171+K171+L171</f>
        <v>0</v>
      </c>
      <c r="N171" s="88">
        <v>600</v>
      </c>
      <c r="O171" s="88">
        <v>0</v>
      </c>
      <c r="P171" s="88">
        <v>0</v>
      </c>
      <c r="Q171" s="88">
        <f t="shared" ref="Q171:Q173" si="631">N171+O171+P171</f>
        <v>600</v>
      </c>
      <c r="R171" s="88">
        <f t="shared" ref="R171:R173" si="632">+Q171+M171</f>
        <v>600</v>
      </c>
      <c r="S171" s="88">
        <v>0</v>
      </c>
      <c r="V171" s="58">
        <f t="shared" ref="V171" si="633">ROUND(H171*1.0583,2)</f>
        <v>619.66999999999996</v>
      </c>
      <c r="W171" s="17">
        <f t="shared" ref="W171" si="634">ROUND(I171*1.0327,2)</f>
        <v>0</v>
      </c>
      <c r="X171" s="110">
        <f t="shared" si="506"/>
        <v>-19.669999999999959</v>
      </c>
      <c r="Y171" s="110">
        <f t="shared" si="507"/>
        <v>0</v>
      </c>
      <c r="Z171" s="110"/>
      <c r="AA171" s="110">
        <v>600</v>
      </c>
      <c r="AB171" s="110">
        <f t="shared" si="508"/>
        <v>600</v>
      </c>
      <c r="AC171" s="111">
        <f t="shared" si="509"/>
        <v>0</v>
      </c>
      <c r="AD171" s="110">
        <f t="shared" si="628"/>
        <v>600</v>
      </c>
      <c r="AE171" s="110">
        <f t="shared" si="629"/>
        <v>0</v>
      </c>
      <c r="AF171" s="110">
        <f t="shared" si="510"/>
        <v>0</v>
      </c>
      <c r="AG171" s="110">
        <f t="shared" si="511"/>
        <v>150</v>
      </c>
      <c r="AH171" s="110">
        <f t="shared" si="512"/>
        <v>0</v>
      </c>
      <c r="AI171" s="129">
        <f t="shared" si="513"/>
        <v>50</v>
      </c>
      <c r="AJ171" s="110">
        <f t="shared" si="514"/>
        <v>0</v>
      </c>
      <c r="AM171" s="110">
        <f t="shared" si="515"/>
        <v>150</v>
      </c>
      <c r="AN171" s="110">
        <f t="shared" si="516"/>
        <v>0</v>
      </c>
      <c r="AQ171" s="110">
        <f t="shared" si="517"/>
        <v>300</v>
      </c>
      <c r="AR171" s="110">
        <f t="shared" si="518"/>
        <v>0</v>
      </c>
      <c r="AU171" s="110">
        <f t="shared" si="583"/>
        <v>150</v>
      </c>
      <c r="AV171" s="110">
        <f>ROUND(AE171*25%,2)</f>
        <v>0</v>
      </c>
      <c r="AY171" s="110">
        <f t="shared" si="499"/>
        <v>500</v>
      </c>
      <c r="AZ171" s="110">
        <f t="shared" si="500"/>
        <v>0</v>
      </c>
      <c r="BA171" s="110">
        <f t="shared" si="501"/>
        <v>500</v>
      </c>
      <c r="BB171" s="142">
        <v>552</v>
      </c>
      <c r="BD171" s="142">
        <f t="shared" si="502"/>
        <v>-52</v>
      </c>
      <c r="BE171" s="142">
        <f t="shared" si="503"/>
        <v>0</v>
      </c>
      <c r="BF171" s="142">
        <f t="shared" si="504"/>
        <v>110.4</v>
      </c>
      <c r="BG171" s="142">
        <f t="shared" si="505"/>
        <v>0</v>
      </c>
      <c r="BH171" s="110">
        <v>62.09</v>
      </c>
      <c r="BI171" s="110">
        <v>0</v>
      </c>
      <c r="BL171" s="110">
        <f t="shared" si="526"/>
        <v>562.09</v>
      </c>
      <c r="BM171" s="110">
        <f t="shared" si="538"/>
        <v>0</v>
      </c>
      <c r="BN171" s="110">
        <f t="shared" si="539"/>
        <v>562.09</v>
      </c>
      <c r="BO171" s="110">
        <v>552.11</v>
      </c>
      <c r="BP171" s="129"/>
      <c r="BQ171" s="110">
        <f t="shared" si="540"/>
        <v>9.9800000000000182</v>
      </c>
      <c r="BR171" s="110">
        <f t="shared" si="541"/>
        <v>0</v>
      </c>
      <c r="BS171" s="110">
        <f t="shared" si="542"/>
        <v>50.19</v>
      </c>
      <c r="BT171" s="110">
        <f t="shared" si="543"/>
        <v>0</v>
      </c>
      <c r="BU171" s="110">
        <f t="shared" ref="BU171:BU172" si="635">ROUND(BS171-BQ171,2)</f>
        <v>40.21</v>
      </c>
      <c r="BV171" s="110">
        <v>0</v>
      </c>
      <c r="BW171" s="111">
        <v>57</v>
      </c>
      <c r="CA171" s="110">
        <f t="shared" si="544"/>
        <v>659.30000000000007</v>
      </c>
      <c r="CB171" s="110">
        <f t="shared" si="545"/>
        <v>0</v>
      </c>
    </row>
    <row r="172" spans="1:80" ht="18" x14ac:dyDescent="0.3">
      <c r="A172" s="13">
        <v>30</v>
      </c>
      <c r="B172" s="13"/>
      <c r="C172" s="14"/>
      <c r="D172" s="15" t="s">
        <v>276</v>
      </c>
      <c r="E172" s="16"/>
      <c r="F172" s="82">
        <v>120.75</v>
      </c>
      <c r="G172" s="82">
        <v>0</v>
      </c>
      <c r="H172" s="82">
        <v>120.75</v>
      </c>
      <c r="I172" s="17">
        <v>0</v>
      </c>
      <c r="J172" s="87">
        <v>106</v>
      </c>
      <c r="K172" s="88">
        <v>0</v>
      </c>
      <c r="L172" s="88">
        <v>0</v>
      </c>
      <c r="M172" s="88">
        <f t="shared" si="630"/>
        <v>106</v>
      </c>
      <c r="N172" s="88">
        <v>35</v>
      </c>
      <c r="O172" s="88">
        <v>0</v>
      </c>
      <c r="P172" s="88">
        <v>0</v>
      </c>
      <c r="Q172" s="88">
        <f t="shared" si="631"/>
        <v>35</v>
      </c>
      <c r="R172" s="88">
        <f t="shared" si="632"/>
        <v>141</v>
      </c>
      <c r="S172" s="88">
        <v>0</v>
      </c>
      <c r="V172" s="58">
        <f t="shared" ref="V172:V173" si="636">ROUND(H172*1.0583,2)</f>
        <v>127.79</v>
      </c>
      <c r="W172" s="17">
        <f t="shared" ref="W172:W173" si="637">ROUND(I172*1.0327,2)</f>
        <v>0</v>
      </c>
      <c r="X172" s="110">
        <f t="shared" si="506"/>
        <v>13.209999999999994</v>
      </c>
      <c r="Y172" s="110">
        <f t="shared" si="507"/>
        <v>0</v>
      </c>
      <c r="Z172" s="110">
        <v>97.79</v>
      </c>
      <c r="AA172" s="110">
        <v>30</v>
      </c>
      <c r="AB172" s="110">
        <f t="shared" si="508"/>
        <v>127.79</v>
      </c>
      <c r="AC172" s="111">
        <f t="shared" si="509"/>
        <v>0</v>
      </c>
      <c r="AD172" s="110">
        <f t="shared" ref="AD172:AD173" si="638">IF(X172&gt;0,V172,R172)</f>
        <v>127.79</v>
      </c>
      <c r="AE172" s="110">
        <f t="shared" ref="AE172:AE173" si="639">IF(Y172&gt;0,W172,S172)</f>
        <v>0</v>
      </c>
      <c r="AF172" s="110">
        <f t="shared" si="510"/>
        <v>0</v>
      </c>
      <c r="AG172" s="110">
        <f t="shared" si="511"/>
        <v>32</v>
      </c>
      <c r="AH172" s="110">
        <f t="shared" si="512"/>
        <v>0</v>
      </c>
      <c r="AI172" s="129">
        <f t="shared" si="513"/>
        <v>11</v>
      </c>
      <c r="AJ172" s="110">
        <f t="shared" si="514"/>
        <v>0</v>
      </c>
      <c r="AM172" s="110">
        <f t="shared" si="515"/>
        <v>31.95</v>
      </c>
      <c r="AN172" s="110">
        <f t="shared" si="516"/>
        <v>0</v>
      </c>
      <c r="AQ172" s="110">
        <f t="shared" si="517"/>
        <v>63.95</v>
      </c>
      <c r="AR172" s="110">
        <f t="shared" si="518"/>
        <v>0</v>
      </c>
      <c r="AU172" s="110">
        <f t="shared" si="583"/>
        <v>31.95</v>
      </c>
      <c r="AV172" s="110">
        <f t="shared" ref="AV172:AV183" si="640">ROUND(AE172*25%,2)</f>
        <v>0</v>
      </c>
      <c r="AY172" s="110">
        <f t="shared" si="499"/>
        <v>106.9</v>
      </c>
      <c r="AZ172" s="110">
        <f t="shared" si="500"/>
        <v>0</v>
      </c>
      <c r="BA172" s="110">
        <f t="shared" si="501"/>
        <v>106.9</v>
      </c>
      <c r="BB172" s="142">
        <v>89.5</v>
      </c>
      <c r="BD172" s="142">
        <f t="shared" si="502"/>
        <v>17.400000000000006</v>
      </c>
      <c r="BE172" s="142">
        <f t="shared" si="503"/>
        <v>0</v>
      </c>
      <c r="BF172" s="142">
        <f t="shared" si="504"/>
        <v>17.899999999999999</v>
      </c>
      <c r="BG172" s="142">
        <f t="shared" si="505"/>
        <v>0</v>
      </c>
      <c r="BH172" s="110">
        <v>0.25</v>
      </c>
      <c r="BI172" s="110">
        <v>0</v>
      </c>
      <c r="BL172" s="110">
        <f t="shared" si="526"/>
        <v>107.15</v>
      </c>
      <c r="BM172" s="110">
        <f t="shared" si="538"/>
        <v>0</v>
      </c>
      <c r="BN172" s="110">
        <f t="shared" si="539"/>
        <v>107.15</v>
      </c>
      <c r="BO172" s="110">
        <v>93.78</v>
      </c>
      <c r="BP172" s="129"/>
      <c r="BQ172" s="110">
        <f t="shared" si="540"/>
        <v>13.370000000000005</v>
      </c>
      <c r="BR172" s="110">
        <f t="shared" si="541"/>
        <v>0</v>
      </c>
      <c r="BS172" s="110">
        <f t="shared" si="542"/>
        <v>8.5299999999999994</v>
      </c>
      <c r="BT172" s="110">
        <f t="shared" si="543"/>
        <v>0</v>
      </c>
      <c r="BU172" s="110">
        <f t="shared" si="635"/>
        <v>-4.84</v>
      </c>
      <c r="BV172" s="110">
        <v>0</v>
      </c>
      <c r="CA172" s="110">
        <f t="shared" si="544"/>
        <v>102.31</v>
      </c>
      <c r="CB172" s="110">
        <f t="shared" si="545"/>
        <v>0</v>
      </c>
    </row>
    <row r="173" spans="1:80" ht="18" x14ac:dyDescent="0.3">
      <c r="A173" s="13">
        <v>31</v>
      </c>
      <c r="B173" s="13"/>
      <c r="C173" s="14"/>
      <c r="D173" s="15" t="s">
        <v>277</v>
      </c>
      <c r="E173" s="16"/>
      <c r="F173" s="82">
        <v>0</v>
      </c>
      <c r="G173" s="82">
        <v>0</v>
      </c>
      <c r="H173" s="82">
        <v>0</v>
      </c>
      <c r="I173" s="17">
        <v>0</v>
      </c>
      <c r="J173" s="87">
        <v>0</v>
      </c>
      <c r="K173" s="88">
        <v>0</v>
      </c>
      <c r="L173" s="88">
        <v>0</v>
      </c>
      <c r="M173" s="88">
        <f t="shared" si="630"/>
        <v>0</v>
      </c>
      <c r="N173" s="88">
        <v>0</v>
      </c>
      <c r="O173" s="88">
        <v>0</v>
      </c>
      <c r="P173" s="88"/>
      <c r="Q173" s="88">
        <f t="shared" si="631"/>
        <v>0</v>
      </c>
      <c r="R173" s="88">
        <f t="shared" si="632"/>
        <v>0</v>
      </c>
      <c r="S173" s="88">
        <v>0</v>
      </c>
      <c r="V173" s="58">
        <f t="shared" si="636"/>
        <v>0</v>
      </c>
      <c r="W173" s="17">
        <f t="shared" si="637"/>
        <v>0</v>
      </c>
      <c r="X173" s="110">
        <f t="shared" si="506"/>
        <v>0</v>
      </c>
      <c r="Y173" s="110">
        <f t="shared" si="507"/>
        <v>0</v>
      </c>
      <c r="Z173" s="110">
        <v>0</v>
      </c>
      <c r="AA173" s="110"/>
      <c r="AB173" s="110">
        <f t="shared" si="508"/>
        <v>0</v>
      </c>
      <c r="AC173" s="111">
        <f t="shared" si="509"/>
        <v>0</v>
      </c>
      <c r="AD173" s="110">
        <f t="shared" si="638"/>
        <v>0</v>
      </c>
      <c r="AE173" s="110">
        <f t="shared" si="639"/>
        <v>0</v>
      </c>
      <c r="AF173" s="110">
        <f t="shared" si="510"/>
        <v>0</v>
      </c>
      <c r="AG173" s="110">
        <f t="shared" si="511"/>
        <v>0</v>
      </c>
      <c r="AH173" s="110">
        <f t="shared" si="512"/>
        <v>0</v>
      </c>
      <c r="AI173" s="129">
        <f t="shared" si="513"/>
        <v>0</v>
      </c>
      <c r="AJ173" s="110">
        <f t="shared" si="514"/>
        <v>0</v>
      </c>
      <c r="AM173" s="110">
        <f t="shared" si="515"/>
        <v>0</v>
      </c>
      <c r="AN173" s="110">
        <f t="shared" si="516"/>
        <v>0</v>
      </c>
      <c r="AQ173" s="110">
        <f t="shared" si="517"/>
        <v>0</v>
      </c>
      <c r="AR173" s="110">
        <f t="shared" si="518"/>
        <v>0</v>
      </c>
      <c r="AU173" s="110">
        <f t="shared" si="583"/>
        <v>0</v>
      </c>
      <c r="AV173" s="110">
        <f t="shared" si="640"/>
        <v>0</v>
      </c>
      <c r="AY173" s="110">
        <f t="shared" si="499"/>
        <v>0</v>
      </c>
      <c r="AZ173" s="110">
        <f t="shared" si="500"/>
        <v>0</v>
      </c>
      <c r="BA173" s="110">
        <f t="shared" si="501"/>
        <v>0</v>
      </c>
      <c r="BB173" s="142">
        <v>0</v>
      </c>
      <c r="BD173" s="142">
        <f t="shared" si="502"/>
        <v>0</v>
      </c>
      <c r="BE173" s="142">
        <f t="shared" si="503"/>
        <v>0</v>
      </c>
      <c r="BF173" s="142">
        <f t="shared" si="504"/>
        <v>0</v>
      </c>
      <c r="BG173" s="142">
        <f t="shared" si="505"/>
        <v>0</v>
      </c>
      <c r="BH173" s="110">
        <v>0</v>
      </c>
      <c r="BI173" s="110">
        <v>0</v>
      </c>
      <c r="BL173" s="110">
        <f t="shared" si="526"/>
        <v>0</v>
      </c>
      <c r="BM173" s="110">
        <f t="shared" si="538"/>
        <v>0</v>
      </c>
      <c r="BN173" s="110">
        <f t="shared" si="539"/>
        <v>0</v>
      </c>
      <c r="BO173" s="110">
        <v>0</v>
      </c>
      <c r="BP173" s="129"/>
      <c r="BQ173" s="110">
        <f t="shared" si="540"/>
        <v>0</v>
      </c>
      <c r="BR173" s="110">
        <f t="shared" si="541"/>
        <v>0</v>
      </c>
      <c r="BS173" s="110">
        <f t="shared" si="542"/>
        <v>0</v>
      </c>
      <c r="BT173" s="110">
        <f t="shared" si="543"/>
        <v>0</v>
      </c>
      <c r="BU173" s="110">
        <f>ROUND(BS173-BQ173,2)</f>
        <v>0</v>
      </c>
      <c r="BV173" s="110">
        <v>0</v>
      </c>
      <c r="CA173" s="110">
        <f t="shared" si="544"/>
        <v>0</v>
      </c>
      <c r="CB173" s="110">
        <f t="shared" si="545"/>
        <v>0</v>
      </c>
    </row>
    <row r="174" spans="1:80" ht="18" x14ac:dyDescent="0.3">
      <c r="A174" s="18"/>
      <c r="B174" s="18" t="s">
        <v>278</v>
      </c>
      <c r="C174" s="19" t="s">
        <v>279</v>
      </c>
      <c r="D174" s="20" t="s">
        <v>275</v>
      </c>
      <c r="E174" s="21" t="s">
        <v>280</v>
      </c>
      <c r="F174" s="22">
        <v>706.28</v>
      </c>
      <c r="G174" s="22">
        <v>0</v>
      </c>
      <c r="H174" s="22">
        <v>706.28</v>
      </c>
      <c r="I174" s="22">
        <v>0</v>
      </c>
      <c r="J174" s="89">
        <f t="shared" ref="J174:AA174" si="641">+J171+J172+J173</f>
        <v>106</v>
      </c>
      <c r="K174" s="89">
        <f t="shared" si="641"/>
        <v>0</v>
      </c>
      <c r="L174" s="89">
        <f t="shared" si="641"/>
        <v>0</v>
      </c>
      <c r="M174" s="89">
        <f t="shared" si="641"/>
        <v>106</v>
      </c>
      <c r="N174" s="89">
        <f t="shared" si="641"/>
        <v>635</v>
      </c>
      <c r="O174" s="89">
        <f t="shared" si="641"/>
        <v>0</v>
      </c>
      <c r="P174" s="89">
        <f t="shared" si="641"/>
        <v>0</v>
      </c>
      <c r="Q174" s="89">
        <f t="shared" si="641"/>
        <v>635</v>
      </c>
      <c r="R174" s="89">
        <f t="shared" si="641"/>
        <v>741</v>
      </c>
      <c r="S174" s="89">
        <f t="shared" si="641"/>
        <v>0</v>
      </c>
      <c r="T174" s="89">
        <f t="shared" si="641"/>
        <v>0</v>
      </c>
      <c r="U174" s="89">
        <f t="shared" si="641"/>
        <v>0</v>
      </c>
      <c r="V174" s="89">
        <f t="shared" si="641"/>
        <v>747.45999999999992</v>
      </c>
      <c r="W174" s="89">
        <f t="shared" si="641"/>
        <v>0</v>
      </c>
      <c r="X174" s="89">
        <f t="shared" si="641"/>
        <v>-6.4599999999999653</v>
      </c>
      <c r="Y174" s="89">
        <f t="shared" si="641"/>
        <v>0</v>
      </c>
      <c r="Z174" s="89">
        <f t="shared" si="641"/>
        <v>97.79</v>
      </c>
      <c r="AA174" s="89">
        <f t="shared" si="641"/>
        <v>630</v>
      </c>
      <c r="AB174" s="22">
        <f t="shared" si="508"/>
        <v>727.79</v>
      </c>
      <c r="AC174" s="111">
        <f t="shared" si="509"/>
        <v>0</v>
      </c>
      <c r="AD174" s="22">
        <f t="shared" ref="AD174:CB174" si="642">+AD171+AD172+AD173</f>
        <v>727.79</v>
      </c>
      <c r="AE174" s="22">
        <f t="shared" si="642"/>
        <v>0</v>
      </c>
      <c r="AF174" s="22">
        <f t="shared" si="642"/>
        <v>0</v>
      </c>
      <c r="AG174" s="22">
        <f t="shared" si="642"/>
        <v>182</v>
      </c>
      <c r="AH174" s="22">
        <f t="shared" si="642"/>
        <v>0</v>
      </c>
      <c r="AI174" s="120">
        <f t="shared" si="642"/>
        <v>61</v>
      </c>
      <c r="AJ174" s="22">
        <f t="shared" si="642"/>
        <v>0</v>
      </c>
      <c r="AK174" s="22">
        <f t="shared" si="642"/>
        <v>0</v>
      </c>
      <c r="AL174" s="22">
        <f t="shared" si="642"/>
        <v>0</v>
      </c>
      <c r="AM174" s="22">
        <f t="shared" si="642"/>
        <v>181.95</v>
      </c>
      <c r="AN174" s="22">
        <f t="shared" si="642"/>
        <v>0</v>
      </c>
      <c r="AO174" s="22">
        <f t="shared" si="642"/>
        <v>0</v>
      </c>
      <c r="AP174" s="22">
        <f t="shared" si="642"/>
        <v>0</v>
      </c>
      <c r="AQ174" s="22">
        <f t="shared" si="642"/>
        <v>363.95</v>
      </c>
      <c r="AR174" s="22">
        <f t="shared" si="642"/>
        <v>0</v>
      </c>
      <c r="AS174" s="22">
        <f t="shared" si="642"/>
        <v>0</v>
      </c>
      <c r="AT174" s="22">
        <f t="shared" si="642"/>
        <v>0</v>
      </c>
      <c r="AU174" s="22">
        <f t="shared" si="642"/>
        <v>181.95</v>
      </c>
      <c r="AV174" s="22">
        <f t="shared" si="642"/>
        <v>0</v>
      </c>
      <c r="AW174" s="22">
        <f t="shared" si="642"/>
        <v>0</v>
      </c>
      <c r="AX174" s="22">
        <f t="shared" si="642"/>
        <v>0</v>
      </c>
      <c r="AY174" s="22">
        <f t="shared" si="642"/>
        <v>606.9</v>
      </c>
      <c r="AZ174" s="22">
        <f t="shared" si="642"/>
        <v>0</v>
      </c>
      <c r="BA174" s="22">
        <f t="shared" si="642"/>
        <v>606.9</v>
      </c>
      <c r="BB174" s="22">
        <f t="shared" si="642"/>
        <v>641.5</v>
      </c>
      <c r="BC174" s="22">
        <f t="shared" si="642"/>
        <v>0</v>
      </c>
      <c r="BD174" s="22">
        <f t="shared" si="642"/>
        <v>-34.599999999999994</v>
      </c>
      <c r="BE174" s="22">
        <f t="shared" si="642"/>
        <v>0</v>
      </c>
      <c r="BF174" s="22">
        <f t="shared" si="642"/>
        <v>128.30000000000001</v>
      </c>
      <c r="BG174" s="120">
        <f t="shared" si="642"/>
        <v>0</v>
      </c>
      <c r="BH174" s="120">
        <f t="shared" si="642"/>
        <v>62.34</v>
      </c>
      <c r="BI174" s="120">
        <f t="shared" si="642"/>
        <v>0</v>
      </c>
      <c r="BJ174" s="120">
        <f t="shared" si="642"/>
        <v>0</v>
      </c>
      <c r="BK174" s="120">
        <f t="shared" si="642"/>
        <v>0</v>
      </c>
      <c r="BL174" s="120">
        <f t="shared" si="642"/>
        <v>669.24</v>
      </c>
      <c r="BM174" s="120">
        <f t="shared" si="642"/>
        <v>0</v>
      </c>
      <c r="BN174" s="120">
        <f t="shared" si="642"/>
        <v>669.24</v>
      </c>
      <c r="BO174" s="120">
        <f t="shared" si="642"/>
        <v>645.89</v>
      </c>
      <c r="BP174" s="120">
        <f t="shared" si="642"/>
        <v>0</v>
      </c>
      <c r="BQ174" s="22">
        <f t="shared" si="642"/>
        <v>23.350000000000023</v>
      </c>
      <c r="BR174" s="22">
        <f t="shared" si="642"/>
        <v>0</v>
      </c>
      <c r="BS174" s="22">
        <f t="shared" si="642"/>
        <v>58.72</v>
      </c>
      <c r="BT174" s="22">
        <f t="shared" si="642"/>
        <v>0</v>
      </c>
      <c r="BU174" s="22">
        <f t="shared" si="642"/>
        <v>35.370000000000005</v>
      </c>
      <c r="BV174" s="22">
        <f t="shared" si="642"/>
        <v>0</v>
      </c>
      <c r="BW174" s="22">
        <f t="shared" si="642"/>
        <v>57</v>
      </c>
      <c r="BX174" s="22">
        <f t="shared" si="642"/>
        <v>0</v>
      </c>
      <c r="BY174" s="22">
        <f t="shared" si="642"/>
        <v>0</v>
      </c>
      <c r="BZ174" s="22">
        <f t="shared" si="642"/>
        <v>0</v>
      </c>
      <c r="CA174" s="22">
        <f t="shared" si="642"/>
        <v>761.61000000000013</v>
      </c>
      <c r="CB174" s="22">
        <f t="shared" si="642"/>
        <v>0</v>
      </c>
    </row>
    <row r="175" spans="1:80" ht="18" x14ac:dyDescent="0.3">
      <c r="A175" s="18">
        <v>32</v>
      </c>
      <c r="B175" s="18" t="s">
        <v>281</v>
      </c>
      <c r="C175" s="19" t="s">
        <v>282</v>
      </c>
      <c r="D175" s="20" t="s">
        <v>283</v>
      </c>
      <c r="E175" s="21" t="s">
        <v>284</v>
      </c>
      <c r="F175" s="82">
        <v>377.15</v>
      </c>
      <c r="G175" s="82">
        <v>7.74</v>
      </c>
      <c r="H175" s="82">
        <v>377.15</v>
      </c>
      <c r="I175" s="22">
        <v>7.74</v>
      </c>
      <c r="J175" s="89">
        <v>0</v>
      </c>
      <c r="K175" s="89">
        <v>0</v>
      </c>
      <c r="L175" s="89">
        <v>0</v>
      </c>
      <c r="M175" s="89">
        <f>+L175+K175+J175</f>
        <v>0</v>
      </c>
      <c r="N175" s="89">
        <v>450</v>
      </c>
      <c r="O175" s="89">
        <v>0</v>
      </c>
      <c r="P175" s="89">
        <v>0</v>
      </c>
      <c r="Q175" s="89">
        <f>+P175+O175+N175</f>
        <v>450</v>
      </c>
      <c r="R175" s="89">
        <f>+Q175+M175</f>
        <v>450</v>
      </c>
      <c r="S175" s="89">
        <v>70</v>
      </c>
      <c r="V175" s="22">
        <f t="shared" ref="V175:V177" si="643">ROUND(H175*1.0583,2)</f>
        <v>399.14</v>
      </c>
      <c r="W175" s="22">
        <f t="shared" ref="W175:W177" si="644">ROUND(I175*1.0327,2)</f>
        <v>7.99</v>
      </c>
      <c r="X175" s="22">
        <f t="shared" si="506"/>
        <v>50.860000000000014</v>
      </c>
      <c r="Y175" s="22">
        <f t="shared" si="507"/>
        <v>62.01</v>
      </c>
      <c r="Z175" s="22">
        <v>0</v>
      </c>
      <c r="AA175" s="22">
        <v>399.14</v>
      </c>
      <c r="AB175" s="22">
        <f t="shared" si="508"/>
        <v>399.14</v>
      </c>
      <c r="AC175" s="111">
        <f t="shared" si="509"/>
        <v>0</v>
      </c>
      <c r="AD175" s="22">
        <f t="shared" ref="AD175:AD177" si="645">IF(X175&gt;0,V175,R175)</f>
        <v>399.14</v>
      </c>
      <c r="AE175" s="22">
        <f t="shared" ref="AE175:AE177" si="646">IF(Y175&gt;0,W175,S175)</f>
        <v>7.99</v>
      </c>
      <c r="AF175" s="22">
        <f t="shared" si="510"/>
        <v>63.15</v>
      </c>
      <c r="AG175" s="110">
        <f t="shared" si="511"/>
        <v>100</v>
      </c>
      <c r="AH175" s="110">
        <f t="shared" si="512"/>
        <v>2</v>
      </c>
      <c r="AI175" s="129">
        <f t="shared" si="513"/>
        <v>33</v>
      </c>
      <c r="AJ175" s="110">
        <f t="shared" si="514"/>
        <v>1</v>
      </c>
      <c r="AK175" s="146">
        <v>36</v>
      </c>
      <c r="AM175" s="110">
        <f t="shared" si="515"/>
        <v>99.79</v>
      </c>
      <c r="AN175" s="110">
        <f t="shared" si="516"/>
        <v>1.95</v>
      </c>
      <c r="AQ175" s="110">
        <f t="shared" si="517"/>
        <v>235.79000000000002</v>
      </c>
      <c r="AR175" s="110">
        <f t="shared" si="518"/>
        <v>3.95</v>
      </c>
      <c r="AS175" s="118"/>
      <c r="AT175" s="118"/>
      <c r="AU175" s="118">
        <f t="shared" si="583"/>
        <v>99.79</v>
      </c>
      <c r="AV175" s="118">
        <v>0</v>
      </c>
      <c r="AW175" s="156">
        <v>30.13</v>
      </c>
      <c r="AX175" s="156">
        <v>63.24</v>
      </c>
      <c r="AY175" s="110">
        <f t="shared" si="499"/>
        <v>398.71000000000004</v>
      </c>
      <c r="AZ175" s="110">
        <f t="shared" si="500"/>
        <v>68.19</v>
      </c>
      <c r="BA175" s="110">
        <f t="shared" si="501"/>
        <v>466.90000000000003</v>
      </c>
      <c r="BB175" s="142">
        <v>386.44</v>
      </c>
      <c r="BC175" s="142">
        <v>65.489999999999995</v>
      </c>
      <c r="BD175" s="142">
        <f t="shared" si="502"/>
        <v>12.270000000000039</v>
      </c>
      <c r="BE175" s="142">
        <f t="shared" si="503"/>
        <v>2.7000000000000028</v>
      </c>
      <c r="BF175" s="142">
        <f t="shared" si="504"/>
        <v>77.290000000000006</v>
      </c>
      <c r="BG175" s="142">
        <f t="shared" si="505"/>
        <v>13.1</v>
      </c>
      <c r="BH175" s="110">
        <v>15.65</v>
      </c>
      <c r="BI175" s="110">
        <v>3.8</v>
      </c>
      <c r="BJ175" s="110">
        <v>10.119999999999999</v>
      </c>
      <c r="BL175" s="110">
        <f t="shared" si="526"/>
        <v>424.48</v>
      </c>
      <c r="BM175" s="110">
        <f t="shared" si="538"/>
        <v>71.989999999999995</v>
      </c>
      <c r="BN175" s="110">
        <f t="shared" si="539"/>
        <v>496.47</v>
      </c>
      <c r="BO175" s="110">
        <v>421.09</v>
      </c>
      <c r="BP175" s="129">
        <v>66.040000000000006</v>
      </c>
      <c r="BQ175" s="110">
        <f t="shared" si="540"/>
        <v>3.3900000000000432</v>
      </c>
      <c r="BR175" s="110">
        <f t="shared" si="541"/>
        <v>5.9499999999999886</v>
      </c>
      <c r="BS175" s="110">
        <f t="shared" si="542"/>
        <v>38.28</v>
      </c>
      <c r="BT175" s="110">
        <f t="shared" si="543"/>
        <v>6</v>
      </c>
      <c r="BU175" s="110">
        <f t="shared" si="579"/>
        <v>34.889999999999958</v>
      </c>
      <c r="BV175" s="110">
        <v>0</v>
      </c>
      <c r="CA175" s="110">
        <f t="shared" si="544"/>
        <v>459.37</v>
      </c>
      <c r="CB175" s="110">
        <f t="shared" si="545"/>
        <v>71.989999999999995</v>
      </c>
    </row>
    <row r="176" spans="1:80" ht="18" x14ac:dyDescent="0.3">
      <c r="A176" s="18">
        <v>33</v>
      </c>
      <c r="B176" s="18" t="s">
        <v>285</v>
      </c>
      <c r="C176" s="19" t="s">
        <v>99</v>
      </c>
      <c r="D176" s="20" t="s">
        <v>286</v>
      </c>
      <c r="E176" s="21" t="s">
        <v>287</v>
      </c>
      <c r="F176" s="82">
        <v>677.17000000000007</v>
      </c>
      <c r="G176" s="82">
        <v>63.64</v>
      </c>
      <c r="H176" s="82">
        <v>677.17000000000007</v>
      </c>
      <c r="I176" s="22">
        <v>68.64</v>
      </c>
      <c r="J176" s="89">
        <v>720</v>
      </c>
      <c r="K176" s="89">
        <v>0</v>
      </c>
      <c r="L176" s="89">
        <v>0</v>
      </c>
      <c r="M176" s="89">
        <f>+L176+K176+J176</f>
        <v>720</v>
      </c>
      <c r="N176" s="89">
        <v>0</v>
      </c>
      <c r="O176" s="89">
        <v>0</v>
      </c>
      <c r="P176" s="89">
        <v>0</v>
      </c>
      <c r="Q176" s="89">
        <f>+P176+O176+N176</f>
        <v>0</v>
      </c>
      <c r="R176" s="89">
        <f>+Q176+M176</f>
        <v>720</v>
      </c>
      <c r="S176" s="89">
        <v>35</v>
      </c>
      <c r="V176" s="22">
        <f t="shared" si="643"/>
        <v>716.65</v>
      </c>
      <c r="W176" s="22">
        <f t="shared" si="644"/>
        <v>70.88</v>
      </c>
      <c r="X176" s="22">
        <f t="shared" si="506"/>
        <v>3.3500000000000227</v>
      </c>
      <c r="Y176" s="22">
        <f t="shared" si="507"/>
        <v>-35.879999999999995</v>
      </c>
      <c r="Z176" s="22">
        <v>716.65</v>
      </c>
      <c r="AA176" s="22">
        <v>0</v>
      </c>
      <c r="AB176" s="22">
        <f t="shared" si="508"/>
        <v>716.65</v>
      </c>
      <c r="AC176" s="111">
        <f t="shared" si="509"/>
        <v>0</v>
      </c>
      <c r="AD176" s="22">
        <f t="shared" si="645"/>
        <v>716.65</v>
      </c>
      <c r="AE176" s="22">
        <f t="shared" si="646"/>
        <v>35</v>
      </c>
      <c r="AF176" s="22">
        <f t="shared" si="510"/>
        <v>31.58</v>
      </c>
      <c r="AG176" s="110">
        <f t="shared" si="511"/>
        <v>179</v>
      </c>
      <c r="AH176" s="110">
        <f t="shared" si="512"/>
        <v>9</v>
      </c>
      <c r="AI176" s="129">
        <f t="shared" si="513"/>
        <v>60</v>
      </c>
      <c r="AJ176" s="110">
        <f t="shared" si="514"/>
        <v>3</v>
      </c>
      <c r="AL176" s="146">
        <v>18</v>
      </c>
      <c r="AM176" s="110">
        <f t="shared" si="515"/>
        <v>179.16</v>
      </c>
      <c r="AN176" s="110">
        <f>ROUND(AE176*24.35%,2)-0.52</f>
        <v>8</v>
      </c>
      <c r="AQ176" s="110">
        <f t="shared" si="517"/>
        <v>358.15999999999997</v>
      </c>
      <c r="AR176" s="110">
        <f t="shared" si="518"/>
        <v>35</v>
      </c>
      <c r="AS176" s="118"/>
      <c r="AT176" s="118"/>
      <c r="AU176" s="118">
        <f t="shared" si="583"/>
        <v>179.16</v>
      </c>
      <c r="AV176" s="118">
        <v>0</v>
      </c>
      <c r="AW176" s="118"/>
      <c r="AX176" s="118"/>
      <c r="AY176" s="110">
        <f t="shared" si="499"/>
        <v>597.31999999999994</v>
      </c>
      <c r="AZ176" s="110">
        <f t="shared" si="500"/>
        <v>38</v>
      </c>
      <c r="BA176" s="110">
        <f t="shared" si="501"/>
        <v>635.31999999999994</v>
      </c>
      <c r="BB176" s="142">
        <v>595.80999999999995</v>
      </c>
      <c r="BC176" s="142">
        <v>28.84</v>
      </c>
      <c r="BD176" s="142">
        <f t="shared" si="502"/>
        <v>1.5099999999999909</v>
      </c>
      <c r="BE176" s="142">
        <f t="shared" si="503"/>
        <v>9.16</v>
      </c>
      <c r="BF176" s="142">
        <f t="shared" si="504"/>
        <v>119.16</v>
      </c>
      <c r="BG176" s="142">
        <f t="shared" si="505"/>
        <v>5.77</v>
      </c>
      <c r="BH176" s="110">
        <v>58.83</v>
      </c>
      <c r="BI176" s="110">
        <v>0</v>
      </c>
      <c r="BL176" s="110">
        <f t="shared" si="526"/>
        <v>656.15</v>
      </c>
      <c r="BM176" s="110">
        <f t="shared" si="538"/>
        <v>38</v>
      </c>
      <c r="BN176" s="110">
        <f t="shared" si="539"/>
        <v>694.15</v>
      </c>
      <c r="BO176" s="110">
        <v>654.64</v>
      </c>
      <c r="BP176" s="129">
        <v>28.84</v>
      </c>
      <c r="BQ176" s="110">
        <f t="shared" si="540"/>
        <v>1.5099999999999909</v>
      </c>
      <c r="BR176" s="110">
        <f t="shared" si="541"/>
        <v>9.16</v>
      </c>
      <c r="BS176" s="110">
        <f t="shared" si="542"/>
        <v>59.51</v>
      </c>
      <c r="BT176" s="110">
        <f t="shared" si="543"/>
        <v>2.62</v>
      </c>
      <c r="BU176" s="110">
        <f t="shared" si="579"/>
        <v>58.000000000000007</v>
      </c>
      <c r="BV176" s="110">
        <v>0</v>
      </c>
      <c r="BW176" s="111">
        <v>25</v>
      </c>
      <c r="BY176" s="110">
        <v>3</v>
      </c>
      <c r="CA176" s="110">
        <f t="shared" si="544"/>
        <v>739.15</v>
      </c>
      <c r="CB176" s="110">
        <f>+BM176+BV176+BX176-BY176</f>
        <v>35</v>
      </c>
    </row>
    <row r="177" spans="1:80" ht="18" x14ac:dyDescent="0.3">
      <c r="A177" s="13">
        <v>34</v>
      </c>
      <c r="B177" s="13"/>
      <c r="C177" s="14"/>
      <c r="D177" s="143" t="s">
        <v>288</v>
      </c>
      <c r="E177" s="16"/>
      <c r="F177" s="82">
        <v>845.46</v>
      </c>
      <c r="G177" s="82">
        <v>66.550000000000011</v>
      </c>
      <c r="H177" s="82">
        <v>845.46</v>
      </c>
      <c r="I177" s="17">
        <v>111.57000000000002</v>
      </c>
      <c r="J177" s="87">
        <v>850</v>
      </c>
      <c r="K177" s="88">
        <v>0</v>
      </c>
      <c r="L177" s="88">
        <v>0</v>
      </c>
      <c r="M177" s="88">
        <f t="shared" ref="M177:M178" si="647">J177+K177+L177</f>
        <v>850</v>
      </c>
      <c r="N177" s="88">
        <v>0</v>
      </c>
      <c r="O177" s="88">
        <v>0</v>
      </c>
      <c r="P177" s="88">
        <v>0</v>
      </c>
      <c r="Q177" s="88">
        <f t="shared" ref="Q177:Q178" si="648">N177+O177+P177</f>
        <v>0</v>
      </c>
      <c r="R177" s="88">
        <f t="shared" ref="R177:R178" si="649">+Q177+M177</f>
        <v>850</v>
      </c>
      <c r="S177" s="88">
        <v>100</v>
      </c>
      <c r="V177" s="17">
        <f t="shared" si="643"/>
        <v>894.75</v>
      </c>
      <c r="W177" s="17">
        <f t="shared" si="644"/>
        <v>115.22</v>
      </c>
      <c r="X177" s="110">
        <f t="shared" si="506"/>
        <v>-44.75</v>
      </c>
      <c r="Y177" s="110">
        <f t="shared" si="507"/>
        <v>-15.219999999999999</v>
      </c>
      <c r="Z177" s="110">
        <v>850</v>
      </c>
      <c r="AA177" s="110"/>
      <c r="AB177" s="110">
        <f t="shared" si="508"/>
        <v>850</v>
      </c>
      <c r="AC177" s="111">
        <f t="shared" si="509"/>
        <v>0</v>
      </c>
      <c r="AD177" s="110">
        <f t="shared" si="645"/>
        <v>850</v>
      </c>
      <c r="AE177" s="110">
        <f t="shared" si="646"/>
        <v>100</v>
      </c>
      <c r="AF177" s="110">
        <f t="shared" si="510"/>
        <v>90.22</v>
      </c>
      <c r="AG177" s="110">
        <f t="shared" si="511"/>
        <v>213</v>
      </c>
      <c r="AH177" s="110">
        <f t="shared" si="512"/>
        <v>25</v>
      </c>
      <c r="AI177" s="129">
        <f t="shared" si="513"/>
        <v>71</v>
      </c>
      <c r="AJ177" s="110">
        <f t="shared" si="514"/>
        <v>8</v>
      </c>
      <c r="AM177" s="110">
        <f t="shared" si="515"/>
        <v>212.5</v>
      </c>
      <c r="AN177" s="110">
        <f t="shared" si="516"/>
        <v>24.35</v>
      </c>
      <c r="AQ177" s="110">
        <f t="shared" si="517"/>
        <v>425.5</v>
      </c>
      <c r="AR177" s="110">
        <f t="shared" si="518"/>
        <v>49.35</v>
      </c>
      <c r="AS177" s="118"/>
      <c r="AT177" s="118"/>
      <c r="AU177" s="118">
        <f t="shared" si="583"/>
        <v>212.5</v>
      </c>
      <c r="AV177" s="118">
        <f t="shared" si="640"/>
        <v>25</v>
      </c>
      <c r="AW177" s="146">
        <v>30</v>
      </c>
      <c r="AX177" s="118"/>
      <c r="AY177" s="110">
        <f t="shared" si="499"/>
        <v>739</v>
      </c>
      <c r="AZ177" s="110">
        <f t="shared" si="500"/>
        <v>82.35</v>
      </c>
      <c r="BA177" s="110">
        <f t="shared" si="501"/>
        <v>821.35</v>
      </c>
      <c r="BB177" s="142">
        <v>729.9</v>
      </c>
      <c r="BC177" s="142">
        <v>23.77</v>
      </c>
      <c r="BD177" s="142">
        <f t="shared" si="502"/>
        <v>9.1000000000000227</v>
      </c>
      <c r="BE177" s="142">
        <f t="shared" si="503"/>
        <v>58.58</v>
      </c>
      <c r="BF177" s="142">
        <f t="shared" si="504"/>
        <v>145.97999999999999</v>
      </c>
      <c r="BG177" s="142">
        <f t="shared" si="505"/>
        <v>4.75</v>
      </c>
      <c r="BH177" s="110">
        <v>68.44</v>
      </c>
      <c r="BI177" s="110">
        <v>0</v>
      </c>
      <c r="BL177" s="110">
        <f t="shared" si="526"/>
        <v>807.44</v>
      </c>
      <c r="BM177" s="110">
        <f t="shared" si="538"/>
        <v>82.35</v>
      </c>
      <c r="BN177" s="110">
        <f t="shared" si="539"/>
        <v>889.79000000000008</v>
      </c>
      <c r="BO177" s="110">
        <v>804.36</v>
      </c>
      <c r="BP177" s="129">
        <v>25.16</v>
      </c>
      <c r="BQ177" s="110">
        <f t="shared" si="540"/>
        <v>3.0800000000000409</v>
      </c>
      <c r="BR177" s="110">
        <f t="shared" si="541"/>
        <v>57.19</v>
      </c>
      <c r="BS177" s="110">
        <f t="shared" si="542"/>
        <v>73.12</v>
      </c>
      <c r="BT177" s="110">
        <f t="shared" si="543"/>
        <v>2.29</v>
      </c>
      <c r="BU177" s="110">
        <f t="shared" si="579"/>
        <v>70.039999999999964</v>
      </c>
      <c r="BV177" s="110">
        <v>0</v>
      </c>
      <c r="BW177" s="111">
        <f>1.52+2.3</f>
        <v>3.82</v>
      </c>
      <c r="BY177" s="110">
        <v>55.45</v>
      </c>
      <c r="CA177" s="110">
        <f t="shared" si="544"/>
        <v>881.30000000000007</v>
      </c>
      <c r="CB177" s="110">
        <f>+BM177+BV177+BX177-BY177</f>
        <v>26.899999999999991</v>
      </c>
    </row>
    <row r="178" spans="1:80" ht="18" x14ac:dyDescent="0.3">
      <c r="A178" s="13">
        <v>35</v>
      </c>
      <c r="B178" s="13"/>
      <c r="C178" s="14"/>
      <c r="D178" s="15" t="s">
        <v>289</v>
      </c>
      <c r="E178" s="16"/>
      <c r="F178" s="82">
        <v>226.63000000000002</v>
      </c>
      <c r="G178" s="82">
        <v>0</v>
      </c>
      <c r="H178" s="82">
        <v>237.66000000000003</v>
      </c>
      <c r="I178" s="17">
        <v>0</v>
      </c>
      <c r="J178" s="87">
        <v>136.25</v>
      </c>
      <c r="K178" s="88">
        <v>0</v>
      </c>
      <c r="L178" s="88">
        <v>0</v>
      </c>
      <c r="M178" s="88">
        <f t="shared" si="647"/>
        <v>136.25</v>
      </c>
      <c r="N178" s="88">
        <v>0</v>
      </c>
      <c r="O178" s="88">
        <v>0</v>
      </c>
      <c r="P178" s="88">
        <v>0</v>
      </c>
      <c r="Q178" s="88">
        <f t="shared" si="648"/>
        <v>0</v>
      </c>
      <c r="R178" s="88">
        <f t="shared" si="649"/>
        <v>136.25</v>
      </c>
      <c r="S178" s="88">
        <v>0</v>
      </c>
      <c r="V178" s="17">
        <f t="shared" ref="V178" si="650">ROUND(H178*1.0583,2)</f>
        <v>251.52</v>
      </c>
      <c r="W178" s="17">
        <f t="shared" ref="W178" si="651">ROUND(I178*1.0327,2)</f>
        <v>0</v>
      </c>
      <c r="X178" s="110">
        <f t="shared" si="506"/>
        <v>-115.27000000000001</v>
      </c>
      <c r="Y178" s="110">
        <f t="shared" si="507"/>
        <v>0</v>
      </c>
      <c r="Z178" s="110">
        <v>136.25</v>
      </c>
      <c r="AA178" s="110"/>
      <c r="AB178" s="110">
        <f t="shared" si="508"/>
        <v>136.25</v>
      </c>
      <c r="AC178" s="111">
        <f t="shared" si="509"/>
        <v>0</v>
      </c>
      <c r="AD178" s="110">
        <f t="shared" ref="AD178" si="652">IF(X178&gt;0,V178,R178)</f>
        <v>136.25</v>
      </c>
      <c r="AE178" s="110">
        <f t="shared" ref="AE178" si="653">IF(Y178&gt;0,W178,S178)</f>
        <v>0</v>
      </c>
      <c r="AF178" s="110">
        <f t="shared" si="510"/>
        <v>0</v>
      </c>
      <c r="AG178" s="110">
        <f t="shared" si="511"/>
        <v>34</v>
      </c>
      <c r="AH178" s="110">
        <f t="shared" si="512"/>
        <v>0</v>
      </c>
      <c r="AI178" s="129">
        <f t="shared" si="513"/>
        <v>11</v>
      </c>
      <c r="AJ178" s="110">
        <f t="shared" si="514"/>
        <v>0</v>
      </c>
      <c r="AM178" s="110">
        <f t="shared" si="515"/>
        <v>34.06</v>
      </c>
      <c r="AN178" s="110">
        <f t="shared" si="516"/>
        <v>0</v>
      </c>
      <c r="AQ178" s="110">
        <f t="shared" si="517"/>
        <v>68.06</v>
      </c>
      <c r="AR178" s="110">
        <f t="shared" si="518"/>
        <v>0</v>
      </c>
      <c r="AU178" s="110">
        <f t="shared" si="583"/>
        <v>34.06</v>
      </c>
      <c r="AV178" s="110">
        <f t="shared" si="640"/>
        <v>0</v>
      </c>
      <c r="AY178" s="110">
        <f t="shared" si="499"/>
        <v>113.12</v>
      </c>
      <c r="AZ178" s="110">
        <f t="shared" si="500"/>
        <v>0</v>
      </c>
      <c r="BA178" s="110">
        <f t="shared" si="501"/>
        <v>113.12</v>
      </c>
      <c r="BB178" s="142">
        <v>113.12</v>
      </c>
      <c r="BD178" s="142">
        <f t="shared" si="502"/>
        <v>0</v>
      </c>
      <c r="BE178" s="142">
        <f t="shared" si="503"/>
        <v>0</v>
      </c>
      <c r="BF178" s="142">
        <f t="shared" si="504"/>
        <v>22.62</v>
      </c>
      <c r="BG178" s="142">
        <f t="shared" si="505"/>
        <v>0</v>
      </c>
      <c r="BH178" s="110">
        <v>11.31</v>
      </c>
      <c r="BI178" s="110">
        <v>0</v>
      </c>
      <c r="BL178" s="110">
        <f t="shared" si="526"/>
        <v>124.43</v>
      </c>
      <c r="BM178" s="110">
        <f t="shared" si="538"/>
        <v>0</v>
      </c>
      <c r="BN178" s="110">
        <f t="shared" si="539"/>
        <v>124.43</v>
      </c>
      <c r="BO178" s="110">
        <v>113.12</v>
      </c>
      <c r="BP178" s="129"/>
      <c r="BQ178" s="110">
        <f t="shared" si="540"/>
        <v>11.310000000000002</v>
      </c>
      <c r="BR178" s="110">
        <f t="shared" si="541"/>
        <v>0</v>
      </c>
      <c r="BS178" s="110">
        <f t="shared" si="542"/>
        <v>10.28</v>
      </c>
      <c r="BT178" s="110">
        <f t="shared" si="543"/>
        <v>0</v>
      </c>
      <c r="BU178" s="110">
        <f t="shared" si="579"/>
        <v>-1.0300000000000029</v>
      </c>
      <c r="BV178" s="110">
        <v>0</v>
      </c>
      <c r="BW178" s="110">
        <v>4</v>
      </c>
      <c r="CA178" s="110">
        <f t="shared" si="544"/>
        <v>127.4</v>
      </c>
      <c r="CB178" s="110">
        <f t="shared" si="545"/>
        <v>0</v>
      </c>
    </row>
    <row r="179" spans="1:80" ht="18" x14ac:dyDescent="0.3">
      <c r="A179" s="18"/>
      <c r="B179" s="18" t="s">
        <v>290</v>
      </c>
      <c r="C179" s="19" t="s">
        <v>45</v>
      </c>
      <c r="D179" s="20" t="s">
        <v>288</v>
      </c>
      <c r="E179" s="21" t="s">
        <v>291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9">
        <f>+J177+J178</f>
        <v>986.25</v>
      </c>
      <c r="K179" s="89">
        <f t="shared" ref="K179:AA179" si="654">+K177+K178</f>
        <v>0</v>
      </c>
      <c r="L179" s="89">
        <f t="shared" si="654"/>
        <v>0</v>
      </c>
      <c r="M179" s="89">
        <f t="shared" si="654"/>
        <v>986.25</v>
      </c>
      <c r="N179" s="89">
        <f t="shared" si="654"/>
        <v>0</v>
      </c>
      <c r="O179" s="89">
        <f t="shared" si="654"/>
        <v>0</v>
      </c>
      <c r="P179" s="89">
        <f t="shared" si="654"/>
        <v>0</v>
      </c>
      <c r="Q179" s="89">
        <f t="shared" si="654"/>
        <v>0</v>
      </c>
      <c r="R179" s="89">
        <f t="shared" si="654"/>
        <v>986.25</v>
      </c>
      <c r="S179" s="89">
        <f t="shared" si="654"/>
        <v>100</v>
      </c>
      <c r="T179" s="89">
        <f t="shared" si="654"/>
        <v>0</v>
      </c>
      <c r="U179" s="89">
        <f t="shared" si="654"/>
        <v>0</v>
      </c>
      <c r="V179" s="89">
        <f t="shared" si="654"/>
        <v>1146.27</v>
      </c>
      <c r="W179" s="89">
        <f t="shared" si="654"/>
        <v>115.22</v>
      </c>
      <c r="X179" s="89">
        <f t="shared" si="654"/>
        <v>-160.02000000000001</v>
      </c>
      <c r="Y179" s="89">
        <f t="shared" si="654"/>
        <v>-15.219999999999999</v>
      </c>
      <c r="Z179" s="89">
        <f t="shared" si="654"/>
        <v>986.25</v>
      </c>
      <c r="AA179" s="89">
        <f t="shared" si="654"/>
        <v>0</v>
      </c>
      <c r="AB179" s="22">
        <f t="shared" si="508"/>
        <v>986.25</v>
      </c>
      <c r="AC179" s="111">
        <f t="shared" si="509"/>
        <v>0</v>
      </c>
      <c r="AD179" s="22">
        <f t="shared" ref="AD179:CB179" si="655">+AD177+AD178</f>
        <v>986.25</v>
      </c>
      <c r="AE179" s="22">
        <f t="shared" si="655"/>
        <v>100</v>
      </c>
      <c r="AF179" s="22">
        <f t="shared" si="655"/>
        <v>90.22</v>
      </c>
      <c r="AG179" s="22">
        <f t="shared" si="655"/>
        <v>247</v>
      </c>
      <c r="AH179" s="22">
        <f t="shared" si="655"/>
        <v>25</v>
      </c>
      <c r="AI179" s="120">
        <f t="shared" si="655"/>
        <v>82</v>
      </c>
      <c r="AJ179" s="22">
        <f t="shared" si="655"/>
        <v>8</v>
      </c>
      <c r="AK179" s="22">
        <f t="shared" si="655"/>
        <v>0</v>
      </c>
      <c r="AL179" s="22">
        <f t="shared" si="655"/>
        <v>0</v>
      </c>
      <c r="AM179" s="22">
        <f t="shared" si="655"/>
        <v>246.56</v>
      </c>
      <c r="AN179" s="22">
        <f t="shared" si="655"/>
        <v>24.35</v>
      </c>
      <c r="AO179" s="22">
        <f t="shared" si="655"/>
        <v>0</v>
      </c>
      <c r="AP179" s="22">
        <f t="shared" si="655"/>
        <v>0</v>
      </c>
      <c r="AQ179" s="22">
        <f t="shared" si="655"/>
        <v>493.56</v>
      </c>
      <c r="AR179" s="22">
        <f t="shared" si="655"/>
        <v>49.35</v>
      </c>
      <c r="AS179" s="22">
        <f t="shared" si="655"/>
        <v>0</v>
      </c>
      <c r="AT179" s="22">
        <f t="shared" si="655"/>
        <v>0</v>
      </c>
      <c r="AU179" s="22">
        <f t="shared" si="655"/>
        <v>246.56</v>
      </c>
      <c r="AV179" s="22">
        <f t="shared" si="655"/>
        <v>25</v>
      </c>
      <c r="AW179" s="22">
        <f t="shared" si="655"/>
        <v>30</v>
      </c>
      <c r="AX179" s="22">
        <f t="shared" si="655"/>
        <v>0</v>
      </c>
      <c r="AY179" s="22">
        <f t="shared" si="655"/>
        <v>852.12</v>
      </c>
      <c r="AZ179" s="22">
        <f t="shared" si="655"/>
        <v>82.35</v>
      </c>
      <c r="BA179" s="22">
        <f t="shared" si="655"/>
        <v>934.47</v>
      </c>
      <c r="BB179" s="22">
        <f t="shared" si="655"/>
        <v>843.02</v>
      </c>
      <c r="BC179" s="22">
        <f t="shared" si="655"/>
        <v>23.77</v>
      </c>
      <c r="BD179" s="22">
        <f t="shared" si="655"/>
        <v>9.1000000000000227</v>
      </c>
      <c r="BE179" s="22">
        <f t="shared" si="655"/>
        <v>58.58</v>
      </c>
      <c r="BF179" s="22">
        <f t="shared" si="655"/>
        <v>168.6</v>
      </c>
      <c r="BG179" s="120">
        <f t="shared" si="655"/>
        <v>4.75</v>
      </c>
      <c r="BH179" s="120">
        <f t="shared" si="655"/>
        <v>79.75</v>
      </c>
      <c r="BI179" s="120">
        <f t="shared" si="655"/>
        <v>0</v>
      </c>
      <c r="BJ179" s="120">
        <f t="shared" si="655"/>
        <v>0</v>
      </c>
      <c r="BK179" s="120">
        <f t="shared" si="655"/>
        <v>0</v>
      </c>
      <c r="BL179" s="120">
        <f t="shared" si="655"/>
        <v>931.87000000000012</v>
      </c>
      <c r="BM179" s="120">
        <f t="shared" si="655"/>
        <v>82.35</v>
      </c>
      <c r="BN179" s="120">
        <f t="shared" si="655"/>
        <v>1014.22</v>
      </c>
      <c r="BO179" s="120">
        <f t="shared" si="655"/>
        <v>917.48</v>
      </c>
      <c r="BP179" s="120">
        <f t="shared" si="655"/>
        <v>25.16</v>
      </c>
      <c r="BQ179" s="22">
        <f t="shared" si="655"/>
        <v>14.390000000000043</v>
      </c>
      <c r="BR179" s="22">
        <f t="shared" si="655"/>
        <v>57.19</v>
      </c>
      <c r="BS179" s="22">
        <f t="shared" si="655"/>
        <v>83.4</v>
      </c>
      <c r="BT179" s="22">
        <f t="shared" si="655"/>
        <v>2.29</v>
      </c>
      <c r="BU179" s="22">
        <f t="shared" si="655"/>
        <v>69.009999999999962</v>
      </c>
      <c r="BV179" s="22">
        <f t="shared" si="655"/>
        <v>0</v>
      </c>
      <c r="BW179" s="22">
        <f t="shared" si="655"/>
        <v>7.82</v>
      </c>
      <c r="BX179" s="22">
        <f t="shared" si="655"/>
        <v>0</v>
      </c>
      <c r="BY179" s="22">
        <f t="shared" si="655"/>
        <v>55.45</v>
      </c>
      <c r="BZ179" s="22">
        <f t="shared" si="655"/>
        <v>0</v>
      </c>
      <c r="CA179" s="22">
        <f t="shared" si="655"/>
        <v>1008.7</v>
      </c>
      <c r="CB179" s="22">
        <f t="shared" si="655"/>
        <v>26.899999999999991</v>
      </c>
    </row>
    <row r="180" spans="1:80" ht="18" x14ac:dyDescent="0.3">
      <c r="A180" s="18">
        <v>36</v>
      </c>
      <c r="B180" s="18" t="s">
        <v>292</v>
      </c>
      <c r="C180" s="19" t="s">
        <v>293</v>
      </c>
      <c r="D180" s="7" t="s">
        <v>294</v>
      </c>
      <c r="E180" s="21" t="s">
        <v>295</v>
      </c>
      <c r="F180" s="82">
        <v>331.71</v>
      </c>
      <c r="G180" s="82">
        <v>52.210000000000008</v>
      </c>
      <c r="H180" s="82">
        <v>331.71</v>
      </c>
      <c r="I180" s="22">
        <v>52.210000000000008</v>
      </c>
      <c r="J180" s="108">
        <v>350</v>
      </c>
      <c r="K180" s="89"/>
      <c r="L180" s="89"/>
      <c r="M180" s="89">
        <f>+L180+K180+J180</f>
        <v>350</v>
      </c>
      <c r="N180" s="89"/>
      <c r="O180" s="89"/>
      <c r="P180" s="89"/>
      <c r="Q180" s="89">
        <f>+P180+O180+N180</f>
        <v>0</v>
      </c>
      <c r="R180" s="89">
        <f>+Q180+M180</f>
        <v>350</v>
      </c>
      <c r="S180" s="89">
        <v>50</v>
      </c>
      <c r="V180" s="22">
        <f t="shared" ref="V180:V181" si="656">ROUND(H180*1.0583,2)</f>
        <v>351.05</v>
      </c>
      <c r="W180" s="22">
        <f t="shared" ref="W180:W181" si="657">ROUND(I180*1.0327,2)</f>
        <v>53.92</v>
      </c>
      <c r="X180" s="22">
        <f t="shared" si="506"/>
        <v>-1.0500000000000114</v>
      </c>
      <c r="Y180" s="22">
        <f t="shared" si="507"/>
        <v>-3.9200000000000017</v>
      </c>
      <c r="Z180" s="22">
        <v>350</v>
      </c>
      <c r="AA180" s="22">
        <v>0</v>
      </c>
      <c r="AB180" s="22">
        <f t="shared" si="508"/>
        <v>350</v>
      </c>
      <c r="AC180" s="111">
        <f t="shared" si="509"/>
        <v>0</v>
      </c>
      <c r="AD180" s="22">
        <f t="shared" ref="AD180:AD181" si="658">IF(X180&gt;0,V180,R180)</f>
        <v>350</v>
      </c>
      <c r="AE180" s="22">
        <f>IF(Y180&gt;0,W180,S180)-33</f>
        <v>17</v>
      </c>
      <c r="AF180" s="22">
        <f t="shared" si="510"/>
        <v>45.11</v>
      </c>
      <c r="AG180" s="110">
        <f t="shared" si="511"/>
        <v>88</v>
      </c>
      <c r="AH180" s="110">
        <v>13</v>
      </c>
      <c r="AI180" s="129">
        <f t="shared" si="513"/>
        <v>29</v>
      </c>
      <c r="AJ180" s="110">
        <v>4</v>
      </c>
      <c r="AM180" s="110">
        <f t="shared" si="515"/>
        <v>87.5</v>
      </c>
      <c r="AN180" s="110">
        <f>ROUND(AE180*24.35%,2)-4.14</f>
        <v>0</v>
      </c>
      <c r="AP180" s="118"/>
      <c r="AQ180" s="118">
        <f t="shared" si="517"/>
        <v>175.5</v>
      </c>
      <c r="AR180" s="118">
        <f t="shared" si="518"/>
        <v>13</v>
      </c>
      <c r="AS180" s="118">
        <v>50</v>
      </c>
      <c r="AT180" s="118"/>
      <c r="AU180" s="118">
        <f t="shared" si="583"/>
        <v>87.5</v>
      </c>
      <c r="AV180" s="118">
        <v>0</v>
      </c>
      <c r="AW180" s="146">
        <v>25</v>
      </c>
      <c r="AY180" s="110">
        <f t="shared" si="499"/>
        <v>367</v>
      </c>
      <c r="AZ180" s="110">
        <f t="shared" si="500"/>
        <v>17</v>
      </c>
      <c r="BA180" s="110">
        <f t="shared" si="501"/>
        <v>384</v>
      </c>
      <c r="BB180" s="142">
        <v>347.45</v>
      </c>
      <c r="BC180" s="142">
        <v>5.09</v>
      </c>
      <c r="BD180" s="142">
        <f t="shared" si="502"/>
        <v>19.550000000000011</v>
      </c>
      <c r="BE180" s="142">
        <f t="shared" si="503"/>
        <v>11.91</v>
      </c>
      <c r="BF180" s="142">
        <f t="shared" si="504"/>
        <v>69.489999999999995</v>
      </c>
      <c r="BG180" s="142">
        <f t="shared" si="505"/>
        <v>1.02</v>
      </c>
      <c r="BH180" s="110">
        <v>23.84</v>
      </c>
      <c r="BI180" s="110">
        <v>0</v>
      </c>
      <c r="BL180" s="110">
        <f t="shared" si="526"/>
        <v>390.84</v>
      </c>
      <c r="BM180" s="110">
        <f t="shared" si="538"/>
        <v>17</v>
      </c>
      <c r="BN180" s="110">
        <f t="shared" si="539"/>
        <v>407.84</v>
      </c>
      <c r="BO180" s="110">
        <v>389.26</v>
      </c>
      <c r="BP180" s="129">
        <v>8.92</v>
      </c>
      <c r="BQ180" s="110">
        <f t="shared" si="540"/>
        <v>1.5799999999999841</v>
      </c>
      <c r="BR180" s="110">
        <f t="shared" si="541"/>
        <v>8.08</v>
      </c>
      <c r="BS180" s="110">
        <f t="shared" si="542"/>
        <v>35.39</v>
      </c>
      <c r="BT180" s="110">
        <f t="shared" si="543"/>
        <v>0.81</v>
      </c>
      <c r="BU180" s="110">
        <f t="shared" si="579"/>
        <v>33.810000000000016</v>
      </c>
      <c r="BV180" s="110">
        <v>0</v>
      </c>
      <c r="CA180" s="110">
        <f t="shared" si="544"/>
        <v>424.65</v>
      </c>
      <c r="CB180" s="110">
        <f t="shared" si="545"/>
        <v>17</v>
      </c>
    </row>
    <row r="181" spans="1:80" ht="18" x14ac:dyDescent="0.3">
      <c r="A181" s="59">
        <v>37</v>
      </c>
      <c r="B181" s="44"/>
      <c r="C181" s="45"/>
      <c r="D181" s="15" t="s">
        <v>296</v>
      </c>
      <c r="E181" s="16"/>
      <c r="F181" s="82">
        <v>1235</v>
      </c>
      <c r="G181" s="82">
        <v>115.53</v>
      </c>
      <c r="H181" s="82">
        <v>1235</v>
      </c>
      <c r="I181" s="58">
        <v>115.53</v>
      </c>
      <c r="J181" s="87">
        <v>1475</v>
      </c>
      <c r="K181" s="91">
        <v>0</v>
      </c>
      <c r="L181" s="91">
        <v>0.5</v>
      </c>
      <c r="M181" s="88">
        <f t="shared" ref="M181:M183" si="659">J181+K181+L181</f>
        <v>1475.5</v>
      </c>
      <c r="N181" s="88">
        <v>0</v>
      </c>
      <c r="O181" s="88">
        <v>0</v>
      </c>
      <c r="P181" s="88">
        <v>0</v>
      </c>
      <c r="Q181" s="88">
        <f t="shared" ref="Q181:Q183" si="660">N181+O181+P181</f>
        <v>0</v>
      </c>
      <c r="R181" s="88">
        <f t="shared" ref="R181:R183" si="661">+Q181+M181</f>
        <v>1475.5</v>
      </c>
      <c r="S181" s="88">
        <v>80</v>
      </c>
      <c r="V181" s="58">
        <f t="shared" si="656"/>
        <v>1307</v>
      </c>
      <c r="W181" s="17">
        <f t="shared" si="657"/>
        <v>119.31</v>
      </c>
      <c r="X181" s="110">
        <f t="shared" si="506"/>
        <v>168.5</v>
      </c>
      <c r="Y181" s="110">
        <f t="shared" si="507"/>
        <v>-39.31</v>
      </c>
      <c r="Z181" s="110">
        <v>1307</v>
      </c>
      <c r="AA181" s="110"/>
      <c r="AB181" s="110">
        <f t="shared" si="508"/>
        <v>1307</v>
      </c>
      <c r="AC181" s="111">
        <f t="shared" si="509"/>
        <v>0</v>
      </c>
      <c r="AD181" s="110">
        <f t="shared" si="658"/>
        <v>1307</v>
      </c>
      <c r="AE181" s="110">
        <f t="shared" ref="AE181" si="662">IF(Y181&gt;0,W181,S181)</f>
        <v>80</v>
      </c>
      <c r="AF181" s="110">
        <f t="shared" si="510"/>
        <v>72.180000000000007</v>
      </c>
      <c r="AG181" s="110">
        <f t="shared" si="511"/>
        <v>327</v>
      </c>
      <c r="AH181" s="110">
        <f t="shared" si="512"/>
        <v>20</v>
      </c>
      <c r="AI181" s="129">
        <f t="shared" si="513"/>
        <v>109</v>
      </c>
      <c r="AJ181" s="110">
        <f t="shared" si="514"/>
        <v>7</v>
      </c>
      <c r="AM181" s="110">
        <f t="shared" si="515"/>
        <v>326.75</v>
      </c>
      <c r="AN181" s="110">
        <f t="shared" si="516"/>
        <v>19.48</v>
      </c>
      <c r="AP181" s="118"/>
      <c r="AQ181" s="118">
        <f>+AM181+AK181+AG181+AO181</f>
        <v>653.75</v>
      </c>
      <c r="AR181" s="118">
        <f t="shared" si="518"/>
        <v>39.480000000000004</v>
      </c>
      <c r="AS181" s="118">
        <v>140</v>
      </c>
      <c r="AT181" s="118">
        <v>10</v>
      </c>
      <c r="AU181" s="118">
        <f t="shared" si="583"/>
        <v>326.75</v>
      </c>
      <c r="AV181" s="118">
        <f t="shared" si="640"/>
        <v>20</v>
      </c>
      <c r="AW181" s="146">
        <v>90</v>
      </c>
      <c r="AY181" s="110">
        <f t="shared" si="499"/>
        <v>1319.5</v>
      </c>
      <c r="AZ181" s="110">
        <f t="shared" si="500"/>
        <v>76.48</v>
      </c>
      <c r="BA181" s="110">
        <f t="shared" si="501"/>
        <v>1395.98</v>
      </c>
      <c r="BB181" s="142">
        <v>1317.84</v>
      </c>
      <c r="BC181" s="142">
        <v>55.71</v>
      </c>
      <c r="BD181" s="142">
        <f t="shared" si="502"/>
        <v>1.6600000000000819</v>
      </c>
      <c r="BE181" s="142">
        <f t="shared" si="503"/>
        <v>20.770000000000003</v>
      </c>
      <c r="BF181" s="142">
        <f t="shared" si="504"/>
        <v>263.57</v>
      </c>
      <c r="BG181" s="142">
        <f t="shared" si="505"/>
        <v>11.14</v>
      </c>
      <c r="BH181" s="110">
        <v>119</v>
      </c>
      <c r="BI181" s="110">
        <v>0</v>
      </c>
      <c r="BL181" s="110">
        <f t="shared" si="526"/>
        <v>1438.5</v>
      </c>
      <c r="BM181" s="110">
        <f t="shared" si="538"/>
        <v>76.48</v>
      </c>
      <c r="BN181" s="110">
        <f t="shared" si="539"/>
        <v>1514.98</v>
      </c>
      <c r="BO181" s="110">
        <v>1455.97</v>
      </c>
      <c r="BP181" s="129">
        <v>56.43</v>
      </c>
      <c r="BQ181" s="110">
        <f t="shared" si="540"/>
        <v>-17.470000000000027</v>
      </c>
      <c r="BR181" s="110">
        <f t="shared" si="541"/>
        <v>20.050000000000004</v>
      </c>
      <c r="BS181" s="110">
        <f t="shared" si="542"/>
        <v>132.36000000000001</v>
      </c>
      <c r="BT181" s="110">
        <f t="shared" si="543"/>
        <v>5.13</v>
      </c>
      <c r="BU181" s="146">
        <f t="shared" si="579"/>
        <v>149.83000000000004</v>
      </c>
      <c r="BV181" s="146">
        <f>0+27.77</f>
        <v>27.77</v>
      </c>
      <c r="BW181" s="111">
        <v>8.67</v>
      </c>
      <c r="BX181" s="146"/>
      <c r="BY181" s="146"/>
      <c r="BZ181" s="146"/>
      <c r="CA181" s="110">
        <f t="shared" si="544"/>
        <v>1597</v>
      </c>
      <c r="CB181" s="110">
        <f t="shared" si="545"/>
        <v>104.25</v>
      </c>
    </row>
    <row r="182" spans="1:80" ht="36" x14ac:dyDescent="0.3">
      <c r="A182" s="13">
        <v>38</v>
      </c>
      <c r="B182" s="13"/>
      <c r="C182" s="14"/>
      <c r="D182" s="15" t="s">
        <v>297</v>
      </c>
      <c r="E182" s="16"/>
      <c r="F182" s="82">
        <v>345.74</v>
      </c>
      <c r="G182" s="82">
        <v>0</v>
      </c>
      <c r="H182" s="82">
        <v>345.74</v>
      </c>
      <c r="I182" s="17">
        <v>0</v>
      </c>
      <c r="J182" s="87">
        <v>420</v>
      </c>
      <c r="K182" s="91">
        <v>0</v>
      </c>
      <c r="L182" s="91">
        <v>0</v>
      </c>
      <c r="M182" s="88">
        <f t="shared" si="659"/>
        <v>420</v>
      </c>
      <c r="N182" s="88">
        <v>0</v>
      </c>
      <c r="O182" s="88">
        <v>0</v>
      </c>
      <c r="P182" s="88">
        <v>0</v>
      </c>
      <c r="Q182" s="88">
        <f t="shared" si="660"/>
        <v>0</v>
      </c>
      <c r="R182" s="88">
        <f t="shared" si="661"/>
        <v>420</v>
      </c>
      <c r="S182" s="88">
        <v>0</v>
      </c>
      <c r="V182" s="58">
        <f t="shared" ref="V182:V183" si="663">ROUND(H182*1.0583,2)</f>
        <v>365.9</v>
      </c>
      <c r="W182" s="17">
        <f t="shared" ref="W182:W183" si="664">ROUND(I182*1.0327,2)</f>
        <v>0</v>
      </c>
      <c r="X182" s="110">
        <f t="shared" si="506"/>
        <v>54.100000000000023</v>
      </c>
      <c r="Y182" s="110">
        <f t="shared" si="507"/>
        <v>0</v>
      </c>
      <c r="Z182" s="110">
        <v>365.9</v>
      </c>
      <c r="AA182" s="110"/>
      <c r="AB182" s="110">
        <f t="shared" si="508"/>
        <v>365.9</v>
      </c>
      <c r="AC182" s="111">
        <f t="shared" si="509"/>
        <v>0</v>
      </c>
      <c r="AD182" s="110">
        <f t="shared" ref="AD182:AD183" si="665">IF(X182&gt;0,V182,R182)</f>
        <v>365.9</v>
      </c>
      <c r="AE182" s="110">
        <f t="shared" ref="AE182:AE183" si="666">IF(Y182&gt;0,W182,S182)</f>
        <v>0</v>
      </c>
      <c r="AF182" s="110">
        <f t="shared" si="510"/>
        <v>0</v>
      </c>
      <c r="AG182" s="110">
        <f t="shared" si="511"/>
        <v>91</v>
      </c>
      <c r="AH182" s="110">
        <f t="shared" si="512"/>
        <v>0</v>
      </c>
      <c r="AI182" s="129">
        <f t="shared" si="513"/>
        <v>30</v>
      </c>
      <c r="AJ182" s="110">
        <f t="shared" si="514"/>
        <v>0</v>
      </c>
      <c r="AM182" s="110">
        <f t="shared" si="515"/>
        <v>91.48</v>
      </c>
      <c r="AN182" s="110">
        <f t="shared" si="516"/>
        <v>0</v>
      </c>
      <c r="AQ182" s="110">
        <f t="shared" si="517"/>
        <v>182.48000000000002</v>
      </c>
      <c r="AR182" s="110">
        <f t="shared" si="518"/>
        <v>0</v>
      </c>
      <c r="AU182" s="110">
        <f t="shared" si="583"/>
        <v>91.48</v>
      </c>
      <c r="AV182" s="110">
        <f t="shared" si="640"/>
        <v>0</v>
      </c>
      <c r="AY182" s="110">
        <f t="shared" si="499"/>
        <v>303.96000000000004</v>
      </c>
      <c r="AZ182" s="110">
        <f t="shared" si="500"/>
        <v>0</v>
      </c>
      <c r="BA182" s="110">
        <f t="shared" si="501"/>
        <v>303.96000000000004</v>
      </c>
      <c r="BB182" s="142">
        <v>303.95999999999998</v>
      </c>
      <c r="BD182" s="142">
        <f t="shared" si="502"/>
        <v>0</v>
      </c>
      <c r="BE182" s="142">
        <f t="shared" si="503"/>
        <v>0</v>
      </c>
      <c r="BF182" s="142">
        <f t="shared" si="504"/>
        <v>60.79</v>
      </c>
      <c r="BG182" s="142">
        <f t="shared" si="505"/>
        <v>0</v>
      </c>
      <c r="BH182" s="110">
        <v>30.4</v>
      </c>
      <c r="BI182" s="110">
        <v>0</v>
      </c>
      <c r="BL182" s="110">
        <f t="shared" si="526"/>
        <v>334.36</v>
      </c>
      <c r="BM182" s="110">
        <f t="shared" si="538"/>
        <v>0</v>
      </c>
      <c r="BN182" s="110">
        <f t="shared" si="539"/>
        <v>334.36</v>
      </c>
      <c r="BO182" s="110">
        <v>303.95999999999998</v>
      </c>
      <c r="BP182" s="129"/>
      <c r="BQ182" s="110">
        <f t="shared" si="540"/>
        <v>30.400000000000034</v>
      </c>
      <c r="BR182" s="110">
        <f t="shared" si="541"/>
        <v>0</v>
      </c>
      <c r="BS182" s="110">
        <f t="shared" si="542"/>
        <v>27.63</v>
      </c>
      <c r="BT182" s="110">
        <f t="shared" si="543"/>
        <v>0</v>
      </c>
      <c r="BU182" s="146">
        <v>30</v>
      </c>
      <c r="BV182" s="110">
        <v>0</v>
      </c>
      <c r="BW182" s="111">
        <v>1.54</v>
      </c>
      <c r="CA182" s="110">
        <f t="shared" si="544"/>
        <v>365.90000000000003</v>
      </c>
      <c r="CB182" s="110">
        <f t="shared" si="545"/>
        <v>0</v>
      </c>
    </row>
    <row r="183" spans="1:80" ht="36" x14ac:dyDescent="0.3">
      <c r="A183" s="13">
        <v>39</v>
      </c>
      <c r="B183" s="13"/>
      <c r="C183" s="14"/>
      <c r="D183" s="15" t="s">
        <v>298</v>
      </c>
      <c r="E183" s="16"/>
      <c r="F183" s="82">
        <v>0</v>
      </c>
      <c r="G183" s="82">
        <v>0</v>
      </c>
      <c r="H183" s="82">
        <v>0</v>
      </c>
      <c r="I183" s="17">
        <v>0</v>
      </c>
      <c r="J183" s="87">
        <v>0</v>
      </c>
      <c r="K183" s="91">
        <v>0</v>
      </c>
      <c r="L183" s="91">
        <v>0</v>
      </c>
      <c r="M183" s="88">
        <f t="shared" si="659"/>
        <v>0</v>
      </c>
      <c r="N183" s="88">
        <v>0</v>
      </c>
      <c r="O183" s="88">
        <v>0</v>
      </c>
      <c r="P183" s="88">
        <v>0</v>
      </c>
      <c r="Q183" s="88">
        <f t="shared" si="660"/>
        <v>0</v>
      </c>
      <c r="R183" s="88">
        <f t="shared" si="661"/>
        <v>0</v>
      </c>
      <c r="S183" s="88">
        <v>0</v>
      </c>
      <c r="V183" s="58">
        <f t="shared" si="663"/>
        <v>0</v>
      </c>
      <c r="W183" s="17">
        <f t="shared" si="664"/>
        <v>0</v>
      </c>
      <c r="X183" s="110">
        <f t="shared" si="506"/>
        <v>0</v>
      </c>
      <c r="Y183" s="110">
        <f t="shared" si="507"/>
        <v>0</v>
      </c>
      <c r="Z183" s="110">
        <v>0</v>
      </c>
      <c r="AA183" s="110"/>
      <c r="AB183" s="110">
        <f t="shared" si="508"/>
        <v>0</v>
      </c>
      <c r="AC183" s="111">
        <f t="shared" si="509"/>
        <v>0</v>
      </c>
      <c r="AD183" s="110">
        <f t="shared" si="665"/>
        <v>0</v>
      </c>
      <c r="AE183" s="110">
        <f t="shared" si="666"/>
        <v>0</v>
      </c>
      <c r="AF183" s="110">
        <f t="shared" si="510"/>
        <v>0</v>
      </c>
      <c r="AG183" s="110">
        <f t="shared" si="511"/>
        <v>0</v>
      </c>
      <c r="AH183" s="110">
        <f t="shared" si="512"/>
        <v>0</v>
      </c>
      <c r="AI183" s="129">
        <f t="shared" si="513"/>
        <v>0</v>
      </c>
      <c r="AJ183" s="110">
        <f t="shared" si="514"/>
        <v>0</v>
      </c>
      <c r="AM183" s="110">
        <f t="shared" si="515"/>
        <v>0</v>
      </c>
      <c r="AN183" s="110">
        <f t="shared" si="516"/>
        <v>0</v>
      </c>
      <c r="AQ183" s="110">
        <f t="shared" si="517"/>
        <v>0</v>
      </c>
      <c r="AR183" s="110">
        <f t="shared" si="518"/>
        <v>0</v>
      </c>
      <c r="AU183" s="110">
        <f t="shared" si="583"/>
        <v>0</v>
      </c>
      <c r="AV183" s="110">
        <f t="shared" si="640"/>
        <v>0</v>
      </c>
      <c r="AY183" s="110">
        <f t="shared" si="499"/>
        <v>0</v>
      </c>
      <c r="AZ183" s="110">
        <f t="shared" si="500"/>
        <v>0</v>
      </c>
      <c r="BA183" s="110">
        <f t="shared" si="501"/>
        <v>0</v>
      </c>
      <c r="BB183" s="142">
        <v>0</v>
      </c>
      <c r="BD183" s="142">
        <f t="shared" si="502"/>
        <v>0</v>
      </c>
      <c r="BE183" s="142">
        <f t="shared" si="503"/>
        <v>0</v>
      </c>
      <c r="BF183" s="142">
        <f t="shared" si="504"/>
        <v>0</v>
      </c>
      <c r="BG183" s="142">
        <f t="shared" si="505"/>
        <v>0</v>
      </c>
      <c r="BH183" s="110">
        <v>0</v>
      </c>
      <c r="BI183" s="110">
        <v>0</v>
      </c>
      <c r="BL183" s="110">
        <f t="shared" si="526"/>
        <v>0</v>
      </c>
      <c r="BM183" s="110">
        <f t="shared" si="538"/>
        <v>0</v>
      </c>
      <c r="BN183" s="110">
        <f t="shared" si="539"/>
        <v>0</v>
      </c>
      <c r="BO183" s="110">
        <v>0</v>
      </c>
      <c r="BP183" s="129"/>
      <c r="BQ183" s="110">
        <f t="shared" si="540"/>
        <v>0</v>
      </c>
      <c r="BR183" s="110">
        <f t="shared" si="541"/>
        <v>0</v>
      </c>
      <c r="BS183" s="110">
        <f t="shared" si="542"/>
        <v>0</v>
      </c>
      <c r="BT183" s="110">
        <f t="shared" si="543"/>
        <v>0</v>
      </c>
      <c r="BU183" s="146">
        <f t="shared" si="579"/>
        <v>0</v>
      </c>
      <c r="BV183" s="110">
        <v>0</v>
      </c>
      <c r="CA183" s="110">
        <f t="shared" si="544"/>
        <v>0</v>
      </c>
      <c r="CB183" s="110">
        <f t="shared" si="545"/>
        <v>0</v>
      </c>
    </row>
    <row r="184" spans="1:80" ht="18" x14ac:dyDescent="0.3">
      <c r="A184" s="18"/>
      <c r="B184" s="18" t="s">
        <v>299</v>
      </c>
      <c r="C184" s="19" t="s">
        <v>89</v>
      </c>
      <c r="D184" s="20" t="s">
        <v>296</v>
      </c>
      <c r="E184" s="21" t="s">
        <v>300</v>
      </c>
      <c r="F184" s="22">
        <v>1580.74</v>
      </c>
      <c r="G184" s="22">
        <v>115.53</v>
      </c>
      <c r="H184" s="22">
        <v>1580.74</v>
      </c>
      <c r="I184" s="22">
        <v>115.53</v>
      </c>
      <c r="J184" s="89">
        <f t="shared" ref="J184:AA184" si="667">+J181+J182+J183</f>
        <v>1895</v>
      </c>
      <c r="K184" s="89">
        <f t="shared" si="667"/>
        <v>0</v>
      </c>
      <c r="L184" s="89">
        <f t="shared" si="667"/>
        <v>0.5</v>
      </c>
      <c r="M184" s="89">
        <f t="shared" si="667"/>
        <v>1895.5</v>
      </c>
      <c r="N184" s="89">
        <f t="shared" si="667"/>
        <v>0</v>
      </c>
      <c r="O184" s="89">
        <f t="shared" si="667"/>
        <v>0</v>
      </c>
      <c r="P184" s="89">
        <f t="shared" si="667"/>
        <v>0</v>
      </c>
      <c r="Q184" s="89">
        <f t="shared" si="667"/>
        <v>0</v>
      </c>
      <c r="R184" s="89">
        <f t="shared" si="667"/>
        <v>1895.5</v>
      </c>
      <c r="S184" s="89">
        <f t="shared" si="667"/>
        <v>80</v>
      </c>
      <c r="T184" s="89">
        <f t="shared" si="667"/>
        <v>0</v>
      </c>
      <c r="U184" s="89">
        <f t="shared" si="667"/>
        <v>0</v>
      </c>
      <c r="V184" s="89">
        <f t="shared" si="667"/>
        <v>1672.9</v>
      </c>
      <c r="W184" s="89">
        <f t="shared" si="667"/>
        <v>119.31</v>
      </c>
      <c r="X184" s="89">
        <f t="shared" si="667"/>
        <v>222.60000000000002</v>
      </c>
      <c r="Y184" s="89">
        <f t="shared" si="667"/>
        <v>-39.31</v>
      </c>
      <c r="Z184" s="89">
        <f t="shared" si="667"/>
        <v>1672.9</v>
      </c>
      <c r="AA184" s="89">
        <f t="shared" si="667"/>
        <v>0</v>
      </c>
      <c r="AB184" s="22">
        <f t="shared" si="508"/>
        <v>1672.9</v>
      </c>
      <c r="AC184" s="111">
        <f t="shared" si="509"/>
        <v>0</v>
      </c>
      <c r="AD184" s="22">
        <f t="shared" ref="AD184:CB184" si="668">+AD181+AD182+AD183</f>
        <v>1672.9</v>
      </c>
      <c r="AE184" s="22">
        <f t="shared" si="668"/>
        <v>80</v>
      </c>
      <c r="AF184" s="22">
        <f t="shared" si="668"/>
        <v>72.180000000000007</v>
      </c>
      <c r="AG184" s="22">
        <f t="shared" si="668"/>
        <v>418</v>
      </c>
      <c r="AH184" s="22">
        <f t="shared" si="668"/>
        <v>20</v>
      </c>
      <c r="AI184" s="120">
        <f t="shared" si="668"/>
        <v>139</v>
      </c>
      <c r="AJ184" s="22">
        <f t="shared" si="668"/>
        <v>7</v>
      </c>
      <c r="AK184" s="22">
        <f t="shared" si="668"/>
        <v>0</v>
      </c>
      <c r="AL184" s="22">
        <f t="shared" si="668"/>
        <v>0</v>
      </c>
      <c r="AM184" s="22">
        <f t="shared" si="668"/>
        <v>418.23</v>
      </c>
      <c r="AN184" s="22">
        <f t="shared" si="668"/>
        <v>19.48</v>
      </c>
      <c r="AO184" s="22">
        <f t="shared" si="668"/>
        <v>0</v>
      </c>
      <c r="AP184" s="22">
        <f t="shared" si="668"/>
        <v>0</v>
      </c>
      <c r="AQ184" s="22">
        <f t="shared" si="668"/>
        <v>836.23</v>
      </c>
      <c r="AR184" s="22">
        <f t="shared" si="668"/>
        <v>39.480000000000004</v>
      </c>
      <c r="AS184" s="22">
        <f t="shared" si="668"/>
        <v>140</v>
      </c>
      <c r="AT184" s="22">
        <f t="shared" si="668"/>
        <v>10</v>
      </c>
      <c r="AU184" s="22">
        <f t="shared" si="668"/>
        <v>418.23</v>
      </c>
      <c r="AV184" s="22">
        <f t="shared" si="668"/>
        <v>20</v>
      </c>
      <c r="AW184" s="22">
        <f t="shared" si="668"/>
        <v>90</v>
      </c>
      <c r="AX184" s="22">
        <f t="shared" si="668"/>
        <v>0</v>
      </c>
      <c r="AY184" s="22">
        <f t="shared" si="668"/>
        <v>1623.46</v>
      </c>
      <c r="AZ184" s="22">
        <f t="shared" si="668"/>
        <v>76.48</v>
      </c>
      <c r="BA184" s="22">
        <f t="shared" si="668"/>
        <v>1699.94</v>
      </c>
      <c r="BB184" s="22">
        <f t="shared" si="668"/>
        <v>1621.8</v>
      </c>
      <c r="BC184" s="22">
        <f t="shared" si="668"/>
        <v>55.71</v>
      </c>
      <c r="BD184" s="22">
        <f t="shared" si="668"/>
        <v>1.6600000000000819</v>
      </c>
      <c r="BE184" s="22">
        <f t="shared" si="668"/>
        <v>20.770000000000003</v>
      </c>
      <c r="BF184" s="22">
        <f t="shared" si="668"/>
        <v>324.36</v>
      </c>
      <c r="BG184" s="120">
        <f t="shared" si="668"/>
        <v>11.14</v>
      </c>
      <c r="BH184" s="120">
        <f t="shared" si="668"/>
        <v>149.4</v>
      </c>
      <c r="BI184" s="120">
        <f t="shared" si="668"/>
        <v>0</v>
      </c>
      <c r="BJ184" s="120">
        <f t="shared" si="668"/>
        <v>0</v>
      </c>
      <c r="BK184" s="120">
        <f t="shared" si="668"/>
        <v>0</v>
      </c>
      <c r="BL184" s="120">
        <f t="shared" si="668"/>
        <v>1772.8600000000001</v>
      </c>
      <c r="BM184" s="120">
        <f t="shared" si="668"/>
        <v>76.48</v>
      </c>
      <c r="BN184" s="120">
        <f t="shared" si="668"/>
        <v>1849.3400000000001</v>
      </c>
      <c r="BO184" s="120">
        <f t="shared" si="668"/>
        <v>1759.93</v>
      </c>
      <c r="BP184" s="120">
        <f t="shared" si="668"/>
        <v>56.43</v>
      </c>
      <c r="BQ184" s="22">
        <f t="shared" si="668"/>
        <v>12.930000000000007</v>
      </c>
      <c r="BR184" s="22">
        <f t="shared" si="668"/>
        <v>20.050000000000004</v>
      </c>
      <c r="BS184" s="22">
        <f t="shared" si="668"/>
        <v>159.99</v>
      </c>
      <c r="BT184" s="22">
        <f t="shared" si="668"/>
        <v>5.13</v>
      </c>
      <c r="BU184" s="22">
        <f t="shared" si="668"/>
        <v>179.83000000000004</v>
      </c>
      <c r="BV184" s="22">
        <f t="shared" si="668"/>
        <v>27.77</v>
      </c>
      <c r="BW184" s="22">
        <f t="shared" si="668"/>
        <v>10.210000000000001</v>
      </c>
      <c r="BX184" s="22">
        <f t="shared" si="668"/>
        <v>0</v>
      </c>
      <c r="BY184" s="22">
        <f t="shared" si="668"/>
        <v>0</v>
      </c>
      <c r="BZ184" s="22">
        <f t="shared" si="668"/>
        <v>0</v>
      </c>
      <c r="CA184" s="22">
        <f t="shared" si="668"/>
        <v>1962.9</v>
      </c>
      <c r="CB184" s="22">
        <f t="shared" si="668"/>
        <v>104.25</v>
      </c>
    </row>
    <row r="185" spans="1:80" ht="36" x14ac:dyDescent="0.3">
      <c r="A185" s="46"/>
      <c r="B185" s="46"/>
      <c r="C185" s="47"/>
      <c r="D185" s="48" t="s">
        <v>301</v>
      </c>
      <c r="E185" s="49" t="s">
        <v>302</v>
      </c>
      <c r="F185" s="50">
        <v>41835.589999999997</v>
      </c>
      <c r="G185" s="50">
        <v>29190.81</v>
      </c>
      <c r="H185" s="50">
        <v>41642.94</v>
      </c>
      <c r="I185" s="50">
        <v>29221.510000000002</v>
      </c>
      <c r="J185" s="94">
        <f t="shared" ref="J185:AA185" si="669">+J184+J180+J179+J176+J175+J174+J170+J169+J168+J165+J164+J160+J161+J157+J156+J146+J142+J139+J136</f>
        <v>44384.95</v>
      </c>
      <c r="K185" s="94">
        <f t="shared" si="669"/>
        <v>1020</v>
      </c>
      <c r="L185" s="94">
        <f t="shared" si="669"/>
        <v>1</v>
      </c>
      <c r="M185" s="94">
        <f t="shared" si="669"/>
        <v>45405.95</v>
      </c>
      <c r="N185" s="94">
        <f t="shared" si="669"/>
        <v>1585</v>
      </c>
      <c r="O185" s="94">
        <f t="shared" si="669"/>
        <v>50</v>
      </c>
      <c r="P185" s="94">
        <f t="shared" si="669"/>
        <v>0</v>
      </c>
      <c r="Q185" s="94">
        <f t="shared" si="669"/>
        <v>1635</v>
      </c>
      <c r="R185" s="94">
        <f t="shared" si="669"/>
        <v>47040.95</v>
      </c>
      <c r="S185" s="94">
        <f t="shared" si="669"/>
        <v>34307</v>
      </c>
      <c r="T185" s="94">
        <f t="shared" si="669"/>
        <v>0</v>
      </c>
      <c r="U185" s="94">
        <f t="shared" si="669"/>
        <v>0</v>
      </c>
      <c r="V185" s="94">
        <f t="shared" si="669"/>
        <v>44070.75</v>
      </c>
      <c r="W185" s="94">
        <f t="shared" si="669"/>
        <v>30177.040000000001</v>
      </c>
      <c r="X185" s="94">
        <f t="shared" si="669"/>
        <v>2970.2000000000003</v>
      </c>
      <c r="Y185" s="94">
        <f t="shared" si="669"/>
        <v>4129.96</v>
      </c>
      <c r="Z185" s="94">
        <f t="shared" si="669"/>
        <v>41992.08</v>
      </c>
      <c r="AA185" s="94">
        <f t="shared" si="669"/>
        <v>1533.3899999999999</v>
      </c>
      <c r="AB185" s="50">
        <f t="shared" si="508"/>
        <v>43525.47</v>
      </c>
      <c r="AC185" s="111">
        <f t="shared" si="509"/>
        <v>0</v>
      </c>
      <c r="AD185" s="50">
        <f t="shared" ref="AD185:CB185" si="670">+AD184+AD180+AD179+AD176+AD175+AD174+AD170+AD169+AD168+AD165+AD164+AD160+AD161+AD157+AD156+AD146+AD142+AD139+AD136</f>
        <v>43525.47</v>
      </c>
      <c r="AE185" s="50">
        <f t="shared" si="670"/>
        <v>29584.620000000003</v>
      </c>
      <c r="AF185" s="50">
        <f t="shared" si="670"/>
        <v>30951.790000000008</v>
      </c>
      <c r="AG185" s="50">
        <f t="shared" si="670"/>
        <v>10882</v>
      </c>
      <c r="AH185" s="50">
        <f t="shared" si="670"/>
        <v>7407</v>
      </c>
      <c r="AI185" s="50">
        <f t="shared" si="670"/>
        <v>3628</v>
      </c>
      <c r="AJ185" s="50">
        <f t="shared" si="670"/>
        <v>2456</v>
      </c>
      <c r="AK185" s="50">
        <f t="shared" si="670"/>
        <v>36</v>
      </c>
      <c r="AL185" s="50">
        <f t="shared" si="670"/>
        <v>92.82</v>
      </c>
      <c r="AM185" s="50">
        <f t="shared" si="670"/>
        <v>10952.300000000001</v>
      </c>
      <c r="AN185" s="50">
        <f t="shared" si="670"/>
        <v>7204.3499999999995</v>
      </c>
      <c r="AO185" s="50">
        <f t="shared" si="670"/>
        <v>0</v>
      </c>
      <c r="AP185" s="50">
        <f t="shared" si="670"/>
        <v>0</v>
      </c>
      <c r="AQ185" s="50">
        <f t="shared" si="670"/>
        <v>21870.3</v>
      </c>
      <c r="AR185" s="50">
        <f t="shared" si="670"/>
        <v>14704.169999999998</v>
      </c>
      <c r="AS185" s="50">
        <f t="shared" si="670"/>
        <v>225</v>
      </c>
      <c r="AT185" s="50">
        <f t="shared" si="670"/>
        <v>10</v>
      </c>
      <c r="AU185" s="50">
        <f t="shared" si="670"/>
        <v>10801.85</v>
      </c>
      <c r="AV185" s="50">
        <f t="shared" si="670"/>
        <v>7316.9400000000005</v>
      </c>
      <c r="AW185" s="50">
        <f t="shared" si="670"/>
        <v>310.13</v>
      </c>
      <c r="AX185" s="50">
        <f t="shared" si="670"/>
        <v>1184.95</v>
      </c>
      <c r="AY185" s="50">
        <f t="shared" si="670"/>
        <v>36835.279999999999</v>
      </c>
      <c r="AZ185" s="50">
        <f t="shared" si="670"/>
        <v>25672.059999999998</v>
      </c>
      <c r="BA185" s="50">
        <f t="shared" si="670"/>
        <v>62507.340000000004</v>
      </c>
      <c r="BB185" s="50">
        <f t="shared" si="670"/>
        <v>34995.170000000006</v>
      </c>
      <c r="BC185" s="50">
        <f t="shared" si="670"/>
        <v>24587.549999999996</v>
      </c>
      <c r="BD185" s="50">
        <f t="shared" si="670"/>
        <v>1840.1099999999992</v>
      </c>
      <c r="BE185" s="50">
        <f t="shared" si="670"/>
        <v>1084.5100000000004</v>
      </c>
      <c r="BF185" s="50">
        <f t="shared" si="670"/>
        <v>6999.01</v>
      </c>
      <c r="BG185" s="50">
        <f t="shared" si="670"/>
        <v>4917.5200000000013</v>
      </c>
      <c r="BH185" s="50">
        <f t="shared" si="670"/>
        <v>2534.3200000000002</v>
      </c>
      <c r="BI185" s="50">
        <f t="shared" si="670"/>
        <v>1954.44</v>
      </c>
      <c r="BJ185" s="50">
        <f t="shared" si="670"/>
        <v>92.12</v>
      </c>
      <c r="BK185" s="50">
        <f t="shared" si="670"/>
        <v>242</v>
      </c>
      <c r="BL185" s="50">
        <f t="shared" si="670"/>
        <v>39461.719999999994</v>
      </c>
      <c r="BM185" s="50">
        <f t="shared" si="670"/>
        <v>27868.5</v>
      </c>
      <c r="BN185" s="50">
        <f t="shared" si="670"/>
        <v>67330.22</v>
      </c>
      <c r="BO185" s="50">
        <f t="shared" si="670"/>
        <v>38630.129999999997</v>
      </c>
      <c r="BP185" s="133">
        <f t="shared" si="670"/>
        <v>27131.629999999997</v>
      </c>
      <c r="BQ185" s="50">
        <f t="shared" si="670"/>
        <v>831.59000000000128</v>
      </c>
      <c r="BR185" s="50">
        <f t="shared" si="670"/>
        <v>736.86999999999989</v>
      </c>
      <c r="BS185" s="50">
        <f t="shared" si="670"/>
        <v>3511.82</v>
      </c>
      <c r="BT185" s="50">
        <f t="shared" si="670"/>
        <v>2466.4999999999995</v>
      </c>
      <c r="BU185" s="50">
        <f t="shared" si="670"/>
        <v>2853.42</v>
      </c>
      <c r="BV185" s="50">
        <f t="shared" si="670"/>
        <v>2021.09</v>
      </c>
      <c r="BW185" s="50">
        <f t="shared" si="670"/>
        <v>798.32999999999993</v>
      </c>
      <c r="BX185" s="50">
        <f t="shared" si="670"/>
        <v>759.5</v>
      </c>
      <c r="BY185" s="50">
        <f t="shared" si="670"/>
        <v>89.3</v>
      </c>
      <c r="BZ185" s="50">
        <f t="shared" si="670"/>
        <v>0</v>
      </c>
      <c r="CA185" s="50">
        <f t="shared" si="670"/>
        <v>43113.469999999994</v>
      </c>
      <c r="CB185" s="50">
        <f t="shared" si="670"/>
        <v>30559.790000000005</v>
      </c>
    </row>
    <row r="186" spans="1:80" ht="18" x14ac:dyDescent="0.3">
      <c r="A186" s="44">
        <v>1</v>
      </c>
      <c r="B186" s="44"/>
      <c r="C186" s="45"/>
      <c r="D186" s="56" t="s">
        <v>303</v>
      </c>
      <c r="E186" s="57"/>
      <c r="F186" s="82">
        <v>4738.8599999999997</v>
      </c>
      <c r="G186" s="82">
        <v>5493.23</v>
      </c>
      <c r="H186" s="82">
        <v>4738.8599999999997</v>
      </c>
      <c r="I186" s="58">
        <v>5563.23</v>
      </c>
      <c r="J186" s="96">
        <v>5600</v>
      </c>
      <c r="K186" s="88">
        <v>3</v>
      </c>
      <c r="L186" s="88"/>
      <c r="M186" s="88">
        <f t="shared" ref="M186" si="671">J186+K186+L186</f>
        <v>5603</v>
      </c>
      <c r="N186" s="88">
        <v>0</v>
      </c>
      <c r="O186" s="88">
        <v>0</v>
      </c>
      <c r="P186" s="88">
        <v>0</v>
      </c>
      <c r="Q186" s="88">
        <f t="shared" ref="Q186" si="672">N186+O186+P186</f>
        <v>0</v>
      </c>
      <c r="R186" s="88">
        <f t="shared" ref="R186" si="673">+Q186+M186</f>
        <v>5603</v>
      </c>
      <c r="S186" s="88">
        <v>6100</v>
      </c>
      <c r="V186" s="58">
        <f t="shared" ref="V186" si="674">ROUND(H186*1.0583,2)</f>
        <v>5015.1400000000003</v>
      </c>
      <c r="W186" s="17">
        <f t="shared" ref="W186" si="675">ROUND(I186*1.0327,2)</f>
        <v>5745.15</v>
      </c>
      <c r="X186" s="110">
        <f t="shared" si="506"/>
        <v>587.85999999999967</v>
      </c>
      <c r="Y186" s="110">
        <f t="shared" si="507"/>
        <v>354.85000000000036</v>
      </c>
      <c r="Z186" s="110">
        <v>5015.1400000000003</v>
      </c>
      <c r="AA186" s="110"/>
      <c r="AB186" s="110">
        <f t="shared" si="508"/>
        <v>5015.1400000000003</v>
      </c>
      <c r="AC186" s="111">
        <f t="shared" si="509"/>
        <v>0</v>
      </c>
      <c r="AD186" s="110">
        <f t="shared" ref="AD186" si="676">IF(X186&gt;0,V186,R186)</f>
        <v>5015.1400000000003</v>
      </c>
      <c r="AE186" s="110">
        <f>IF(Y186&gt;0,W186,S186)+358.93</f>
        <v>6104.08</v>
      </c>
      <c r="AF186" s="110">
        <f t="shared" si="510"/>
        <v>5503.42</v>
      </c>
      <c r="AG186" s="110">
        <f>ROUND(AD186/4,0)+15.9</f>
        <v>1269.9000000000001</v>
      </c>
      <c r="AH186" s="110">
        <v>1436</v>
      </c>
      <c r="AI186" s="129">
        <f t="shared" si="513"/>
        <v>418</v>
      </c>
      <c r="AJ186" s="110">
        <v>479</v>
      </c>
      <c r="AL186" s="146">
        <v>358.93</v>
      </c>
      <c r="AM186" s="110">
        <f t="shared" si="515"/>
        <v>1253.79</v>
      </c>
      <c r="AN186" s="110">
        <f>1436</f>
        <v>1436</v>
      </c>
      <c r="AQ186" s="110">
        <f t="shared" si="517"/>
        <v>2523.69</v>
      </c>
      <c r="AR186" s="110">
        <f t="shared" si="518"/>
        <v>3230.9300000000003</v>
      </c>
      <c r="AT186" s="118">
        <v>82</v>
      </c>
      <c r="AU186" s="110">
        <f t="shared" si="583"/>
        <v>1253.79</v>
      </c>
      <c r="AV186" s="110">
        <f>ROUND(AE186*25%,2)+160.25</f>
        <v>1686.27</v>
      </c>
      <c r="AY186" s="110">
        <f t="shared" si="499"/>
        <v>4195.4799999999996</v>
      </c>
      <c r="AZ186" s="110">
        <f t="shared" si="500"/>
        <v>5478.2000000000007</v>
      </c>
      <c r="BA186" s="110">
        <f t="shared" si="501"/>
        <v>9673.68</v>
      </c>
      <c r="BB186" s="142">
        <v>3989.31</v>
      </c>
      <c r="BC186" s="142">
        <v>5507.84</v>
      </c>
      <c r="BD186" s="142">
        <f t="shared" si="502"/>
        <v>206.16999999999962</v>
      </c>
      <c r="BE186" s="142">
        <f t="shared" si="503"/>
        <v>-29.639999999999418</v>
      </c>
      <c r="BF186" s="142">
        <f t="shared" si="504"/>
        <v>797.86</v>
      </c>
      <c r="BG186" s="142">
        <f t="shared" si="505"/>
        <v>1101.57</v>
      </c>
      <c r="BH186" s="110">
        <v>303.8</v>
      </c>
      <c r="BI186" s="111">
        <v>500</v>
      </c>
      <c r="BJ186" s="111"/>
      <c r="BK186" s="111">
        <v>172.37</v>
      </c>
      <c r="BL186" s="110">
        <f t="shared" si="526"/>
        <v>4499.28</v>
      </c>
      <c r="BM186" s="110">
        <f t="shared" si="538"/>
        <v>6150.5700000000006</v>
      </c>
      <c r="BN186" s="110">
        <f t="shared" si="539"/>
        <v>10649.85</v>
      </c>
      <c r="BO186" s="110">
        <v>4410.9399999999996</v>
      </c>
      <c r="BP186" s="129">
        <f>6138.57+24</f>
        <v>6162.57</v>
      </c>
      <c r="BQ186" s="110">
        <f t="shared" si="540"/>
        <v>88.340000000000146</v>
      </c>
      <c r="BR186" s="110">
        <f t="shared" si="541"/>
        <v>-11.999999999999091</v>
      </c>
      <c r="BS186" s="110">
        <f t="shared" si="542"/>
        <v>400.99</v>
      </c>
      <c r="BT186" s="110">
        <f t="shared" si="543"/>
        <v>560.23</v>
      </c>
      <c r="BU186" s="111">
        <v>500</v>
      </c>
      <c r="BV186" s="111">
        <v>586</v>
      </c>
      <c r="BW186" s="111">
        <v>55.32</v>
      </c>
      <c r="BX186" s="111">
        <f>28.37+35.87</f>
        <v>64.239999999999995</v>
      </c>
      <c r="BY186" s="111"/>
      <c r="BZ186" s="111"/>
      <c r="CA186" s="110">
        <f t="shared" si="544"/>
        <v>5054.5999999999995</v>
      </c>
      <c r="CB186" s="110">
        <f t="shared" si="545"/>
        <v>6800.81</v>
      </c>
    </row>
    <row r="187" spans="1:80" ht="18" x14ac:dyDescent="0.3">
      <c r="A187" s="18"/>
      <c r="B187" s="18"/>
      <c r="C187" s="19"/>
      <c r="D187" s="20" t="s">
        <v>303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9">
        <f t="shared" ref="J187:AA187" si="677">J186</f>
        <v>5600</v>
      </c>
      <c r="K187" s="89">
        <f t="shared" si="677"/>
        <v>3</v>
      </c>
      <c r="L187" s="89">
        <f t="shared" si="677"/>
        <v>0</v>
      </c>
      <c r="M187" s="89">
        <f t="shared" si="677"/>
        <v>5603</v>
      </c>
      <c r="N187" s="89">
        <f t="shared" si="677"/>
        <v>0</v>
      </c>
      <c r="O187" s="89">
        <f t="shared" si="677"/>
        <v>0</v>
      </c>
      <c r="P187" s="89">
        <f t="shared" si="677"/>
        <v>0</v>
      </c>
      <c r="Q187" s="89">
        <f t="shared" si="677"/>
        <v>0</v>
      </c>
      <c r="R187" s="89">
        <f t="shared" si="677"/>
        <v>5603</v>
      </c>
      <c r="S187" s="89">
        <f t="shared" si="677"/>
        <v>6100</v>
      </c>
      <c r="T187" s="89">
        <f t="shared" si="677"/>
        <v>0</v>
      </c>
      <c r="U187" s="89">
        <f t="shared" si="677"/>
        <v>0</v>
      </c>
      <c r="V187" s="89">
        <f t="shared" si="677"/>
        <v>5015.1400000000003</v>
      </c>
      <c r="W187" s="89">
        <f t="shared" si="677"/>
        <v>5745.15</v>
      </c>
      <c r="X187" s="89">
        <f t="shared" si="677"/>
        <v>587.85999999999967</v>
      </c>
      <c r="Y187" s="89">
        <f t="shared" si="677"/>
        <v>354.85000000000036</v>
      </c>
      <c r="Z187" s="89">
        <f t="shared" si="677"/>
        <v>5015.1400000000003</v>
      </c>
      <c r="AA187" s="89">
        <f t="shared" si="677"/>
        <v>0</v>
      </c>
      <c r="AB187" s="22">
        <f t="shared" si="508"/>
        <v>5015.1400000000003</v>
      </c>
      <c r="AC187" s="111">
        <f t="shared" si="509"/>
        <v>0</v>
      </c>
      <c r="AD187" s="22">
        <f t="shared" ref="AD187:CB187" si="678">AD186</f>
        <v>5015.1400000000003</v>
      </c>
      <c r="AE187" s="22">
        <f t="shared" si="678"/>
        <v>6104.08</v>
      </c>
      <c r="AF187" s="22">
        <f t="shared" si="678"/>
        <v>5503.42</v>
      </c>
      <c r="AG187" s="22">
        <f t="shared" si="678"/>
        <v>1269.9000000000001</v>
      </c>
      <c r="AH187" s="22">
        <f t="shared" si="678"/>
        <v>1436</v>
      </c>
      <c r="AI187" s="120">
        <f t="shared" si="678"/>
        <v>418</v>
      </c>
      <c r="AJ187" s="22">
        <f t="shared" si="678"/>
        <v>479</v>
      </c>
      <c r="AK187" s="22">
        <f t="shared" si="678"/>
        <v>0</v>
      </c>
      <c r="AL187" s="22">
        <f t="shared" si="678"/>
        <v>358.93</v>
      </c>
      <c r="AM187" s="22">
        <f t="shared" si="678"/>
        <v>1253.79</v>
      </c>
      <c r="AN187" s="22">
        <f t="shared" si="678"/>
        <v>1436</v>
      </c>
      <c r="AO187" s="22">
        <f t="shared" si="678"/>
        <v>0</v>
      </c>
      <c r="AP187" s="22">
        <f t="shared" si="678"/>
        <v>0</v>
      </c>
      <c r="AQ187" s="22">
        <f t="shared" si="678"/>
        <v>2523.69</v>
      </c>
      <c r="AR187" s="22">
        <f t="shared" si="678"/>
        <v>3230.9300000000003</v>
      </c>
      <c r="AS187" s="22">
        <f t="shared" si="678"/>
        <v>0</v>
      </c>
      <c r="AT187" s="22">
        <f t="shared" si="678"/>
        <v>82</v>
      </c>
      <c r="AU187" s="22">
        <f t="shared" si="678"/>
        <v>1253.79</v>
      </c>
      <c r="AV187" s="22">
        <f t="shared" si="678"/>
        <v>1686.27</v>
      </c>
      <c r="AW187" s="22">
        <f t="shared" si="678"/>
        <v>0</v>
      </c>
      <c r="AX187" s="22">
        <f t="shared" si="678"/>
        <v>0</v>
      </c>
      <c r="AY187" s="22">
        <f t="shared" si="678"/>
        <v>4195.4799999999996</v>
      </c>
      <c r="AZ187" s="22">
        <f t="shared" si="678"/>
        <v>5478.2000000000007</v>
      </c>
      <c r="BA187" s="22">
        <f t="shared" si="678"/>
        <v>9673.68</v>
      </c>
      <c r="BB187" s="22">
        <f t="shared" si="678"/>
        <v>3989.31</v>
      </c>
      <c r="BC187" s="22">
        <f t="shared" si="678"/>
        <v>5507.84</v>
      </c>
      <c r="BD187" s="22">
        <f t="shared" si="678"/>
        <v>206.16999999999962</v>
      </c>
      <c r="BE187" s="22">
        <f t="shared" si="678"/>
        <v>-29.639999999999418</v>
      </c>
      <c r="BF187" s="22">
        <f t="shared" si="678"/>
        <v>797.86</v>
      </c>
      <c r="BG187" s="120">
        <f t="shared" si="678"/>
        <v>1101.57</v>
      </c>
      <c r="BH187" s="120">
        <f t="shared" si="678"/>
        <v>303.8</v>
      </c>
      <c r="BI187" s="120">
        <f t="shared" si="678"/>
        <v>500</v>
      </c>
      <c r="BJ187" s="120">
        <f t="shared" si="678"/>
        <v>0</v>
      </c>
      <c r="BK187" s="120">
        <f t="shared" si="678"/>
        <v>172.37</v>
      </c>
      <c r="BL187" s="120">
        <f t="shared" si="678"/>
        <v>4499.28</v>
      </c>
      <c r="BM187" s="120">
        <f t="shared" si="678"/>
        <v>6150.5700000000006</v>
      </c>
      <c r="BN187" s="120">
        <f t="shared" si="678"/>
        <v>10649.85</v>
      </c>
      <c r="BO187" s="120">
        <f t="shared" si="678"/>
        <v>4410.9399999999996</v>
      </c>
      <c r="BP187" s="120">
        <f t="shared" si="678"/>
        <v>6162.57</v>
      </c>
      <c r="BQ187" s="22">
        <f t="shared" si="678"/>
        <v>88.340000000000146</v>
      </c>
      <c r="BR187" s="22">
        <f t="shared" si="678"/>
        <v>-11.999999999999091</v>
      </c>
      <c r="BS187" s="22">
        <f t="shared" si="678"/>
        <v>400.99</v>
      </c>
      <c r="BT187" s="22">
        <f t="shared" si="678"/>
        <v>560.23</v>
      </c>
      <c r="BU187" s="22">
        <f t="shared" si="678"/>
        <v>500</v>
      </c>
      <c r="BV187" s="22">
        <f t="shared" si="678"/>
        <v>586</v>
      </c>
      <c r="BW187" s="22">
        <f t="shared" si="678"/>
        <v>55.32</v>
      </c>
      <c r="BX187" s="22">
        <f t="shared" si="678"/>
        <v>64.239999999999995</v>
      </c>
      <c r="BY187" s="22">
        <f t="shared" si="678"/>
        <v>0</v>
      </c>
      <c r="BZ187" s="22">
        <f t="shared" si="678"/>
        <v>0</v>
      </c>
      <c r="CA187" s="22">
        <f t="shared" si="678"/>
        <v>5054.5999999999995</v>
      </c>
      <c r="CB187" s="22">
        <f t="shared" si="678"/>
        <v>6800.81</v>
      </c>
    </row>
    <row r="188" spans="1:80" ht="18" x14ac:dyDescent="0.3">
      <c r="A188" s="13">
        <v>2</v>
      </c>
      <c r="B188" s="13"/>
      <c r="C188" s="14"/>
      <c r="D188" s="122" t="s">
        <v>304</v>
      </c>
      <c r="E188" s="16"/>
      <c r="F188" s="82">
        <v>2482.77</v>
      </c>
      <c r="G188" s="82">
        <v>589.26</v>
      </c>
      <c r="H188" s="82">
        <v>2495</v>
      </c>
      <c r="I188" s="17">
        <v>609.26</v>
      </c>
      <c r="J188" s="87">
        <v>2650</v>
      </c>
      <c r="K188" s="88">
        <v>137</v>
      </c>
      <c r="L188" s="88">
        <v>0.1</v>
      </c>
      <c r="M188" s="88">
        <f t="shared" ref="M188:M190" si="679">J188+K188+L188</f>
        <v>2787.1</v>
      </c>
      <c r="N188" s="88">
        <v>0</v>
      </c>
      <c r="O188" s="88">
        <v>0</v>
      </c>
      <c r="P188" s="88">
        <v>0</v>
      </c>
      <c r="Q188" s="88">
        <f t="shared" ref="Q188:Q190" si="680">N188+O188+P188</f>
        <v>0</v>
      </c>
      <c r="R188" s="88">
        <f t="shared" ref="R188:R190" si="681">+Q188+M188</f>
        <v>2787.1</v>
      </c>
      <c r="S188" s="88">
        <v>300</v>
      </c>
      <c r="V188" s="58">
        <f t="shared" ref="V188" si="682">ROUND(H188*1.0583,2)</f>
        <v>2640.46</v>
      </c>
      <c r="W188" s="17">
        <f t="shared" ref="W188" si="683">ROUND(I188*1.0327,2)</f>
        <v>629.17999999999995</v>
      </c>
      <c r="X188" s="110">
        <f t="shared" si="506"/>
        <v>146.63999999999987</v>
      </c>
      <c r="Y188" s="110">
        <f t="shared" si="507"/>
        <v>-329.17999999999995</v>
      </c>
      <c r="Z188" s="110">
        <v>2640.46</v>
      </c>
      <c r="AA188" s="110"/>
      <c r="AB188" s="110">
        <f t="shared" si="508"/>
        <v>2640.46</v>
      </c>
      <c r="AC188" s="111">
        <f t="shared" si="509"/>
        <v>0</v>
      </c>
      <c r="AD188" s="110">
        <f t="shared" ref="AD188" si="684">IF(X188&gt;0,V188,R188)</f>
        <v>2640.46</v>
      </c>
      <c r="AE188" s="111">
        <f t="shared" ref="AE188" si="685">IF(Y188&gt;0,W188,S188)</f>
        <v>300</v>
      </c>
      <c r="AF188" s="110">
        <f t="shared" si="510"/>
        <v>270.66000000000003</v>
      </c>
      <c r="AG188" s="110">
        <f t="shared" si="511"/>
        <v>660</v>
      </c>
      <c r="AH188" s="110">
        <f t="shared" si="512"/>
        <v>75</v>
      </c>
      <c r="AI188" s="129">
        <f t="shared" si="513"/>
        <v>220</v>
      </c>
      <c r="AJ188" s="110">
        <f t="shared" si="514"/>
        <v>25</v>
      </c>
      <c r="AL188" s="146">
        <v>140</v>
      </c>
      <c r="AM188" s="110">
        <f t="shared" si="515"/>
        <v>660.12</v>
      </c>
      <c r="AN188" s="110">
        <f t="shared" si="516"/>
        <v>73.05</v>
      </c>
      <c r="AQ188" s="110">
        <f t="shared" si="517"/>
        <v>1320.12</v>
      </c>
      <c r="AR188" s="110">
        <f t="shared" si="518"/>
        <v>288.05</v>
      </c>
      <c r="AU188" s="118">
        <f t="shared" si="583"/>
        <v>660.12</v>
      </c>
      <c r="AV188" s="153">
        <f>ROUND(AE188*25%,2)-43.15</f>
        <v>31.85</v>
      </c>
      <c r="AW188" s="153"/>
      <c r="AX188" s="153"/>
      <c r="AY188" s="110">
        <f t="shared" si="499"/>
        <v>2200.2399999999998</v>
      </c>
      <c r="AZ188" s="110">
        <f t="shared" si="500"/>
        <v>344.90000000000003</v>
      </c>
      <c r="BA188" s="110">
        <f t="shared" si="501"/>
        <v>2545.14</v>
      </c>
      <c r="BB188" s="142">
        <v>2097.87</v>
      </c>
      <c r="BC188" s="142">
        <v>290.13</v>
      </c>
      <c r="BD188" s="142">
        <f t="shared" si="502"/>
        <v>102.36999999999989</v>
      </c>
      <c r="BE188" s="142">
        <f t="shared" si="503"/>
        <v>54.770000000000039</v>
      </c>
      <c r="BF188" s="142">
        <f t="shared" si="504"/>
        <v>419.57</v>
      </c>
      <c r="BG188" s="142">
        <f t="shared" si="505"/>
        <v>58.03</v>
      </c>
      <c r="BH188" s="110">
        <v>150.53</v>
      </c>
      <c r="BI188" s="110">
        <v>0</v>
      </c>
      <c r="BL188" s="110">
        <f t="shared" si="526"/>
        <v>2350.77</v>
      </c>
      <c r="BM188" s="110">
        <f t="shared" si="538"/>
        <v>344.90000000000003</v>
      </c>
      <c r="BN188" s="110">
        <f t="shared" si="539"/>
        <v>2695.67</v>
      </c>
      <c r="BO188" s="110">
        <v>2322.83</v>
      </c>
      <c r="BP188" s="129">
        <v>299.08</v>
      </c>
      <c r="BQ188" s="110">
        <f t="shared" si="540"/>
        <v>27.940000000000055</v>
      </c>
      <c r="BR188" s="110">
        <f t="shared" si="541"/>
        <v>45.82000000000005</v>
      </c>
      <c r="BS188" s="110">
        <f t="shared" si="542"/>
        <v>211.17</v>
      </c>
      <c r="BT188" s="110">
        <f t="shared" si="543"/>
        <v>27.19</v>
      </c>
      <c r="BU188" s="146">
        <f>BS188-BQ188+10+10</f>
        <v>203.22999999999993</v>
      </c>
      <c r="BV188" s="146">
        <v>0</v>
      </c>
      <c r="BW188" s="146">
        <v>5</v>
      </c>
      <c r="BX188" s="146"/>
      <c r="BY188" s="146"/>
      <c r="BZ188" s="146"/>
      <c r="CA188" s="110">
        <f t="shared" si="544"/>
        <v>2559</v>
      </c>
      <c r="CB188" s="110">
        <f t="shared" si="545"/>
        <v>344.90000000000003</v>
      </c>
    </row>
    <row r="189" spans="1:80" ht="36" x14ac:dyDescent="0.3">
      <c r="A189" s="13">
        <v>3</v>
      </c>
      <c r="B189" s="13"/>
      <c r="C189" s="14"/>
      <c r="D189" s="15" t="s">
        <v>305</v>
      </c>
      <c r="E189" s="16"/>
      <c r="F189" s="82">
        <v>1898.8199999999997</v>
      </c>
      <c r="G189" s="82">
        <v>0</v>
      </c>
      <c r="H189" s="82">
        <v>2043.8199999999997</v>
      </c>
      <c r="I189" s="17">
        <v>0</v>
      </c>
      <c r="J189" s="87">
        <v>2555.27</v>
      </c>
      <c r="K189" s="88"/>
      <c r="L189" s="88"/>
      <c r="M189" s="88">
        <f t="shared" si="679"/>
        <v>2555.27</v>
      </c>
      <c r="N189" s="88"/>
      <c r="O189" s="88"/>
      <c r="P189" s="88"/>
      <c r="Q189" s="88">
        <f t="shared" si="680"/>
        <v>0</v>
      </c>
      <c r="R189" s="88">
        <f t="shared" si="681"/>
        <v>2555.27</v>
      </c>
      <c r="S189" s="88"/>
      <c r="V189" s="58">
        <f t="shared" ref="V189" si="686">ROUND(H189*1.0583,2)</f>
        <v>2162.9699999999998</v>
      </c>
      <c r="W189" s="17">
        <f t="shared" ref="W189" si="687">ROUND(I189*1.0327,2)</f>
        <v>0</v>
      </c>
      <c r="X189" s="110">
        <f t="shared" si="506"/>
        <v>392.30000000000018</v>
      </c>
      <c r="Y189" s="110">
        <f t="shared" si="507"/>
        <v>0</v>
      </c>
      <c r="Z189" s="110">
        <v>2162.9699999999998</v>
      </c>
      <c r="AA189" s="110"/>
      <c r="AB189" s="110">
        <f t="shared" si="508"/>
        <v>2162.9699999999998</v>
      </c>
      <c r="AC189" s="111">
        <f t="shared" si="509"/>
        <v>0</v>
      </c>
      <c r="AD189" s="110">
        <f t="shared" ref="AD189:AD190" si="688">IF(X189&gt;0,V189,R189)</f>
        <v>2162.9699999999998</v>
      </c>
      <c r="AE189" s="110">
        <f t="shared" ref="AE189:AE190" si="689">IF(Y189&gt;0,W189,S189)</f>
        <v>0</v>
      </c>
      <c r="AF189" s="110">
        <f t="shared" si="510"/>
        <v>0</v>
      </c>
      <c r="AG189" s="110">
        <f t="shared" si="511"/>
        <v>541</v>
      </c>
      <c r="AH189" s="110">
        <f t="shared" si="512"/>
        <v>0</v>
      </c>
      <c r="AI189" s="129">
        <f t="shared" si="513"/>
        <v>180</v>
      </c>
      <c r="AJ189" s="110">
        <f t="shared" si="514"/>
        <v>0</v>
      </c>
      <c r="AM189" s="110">
        <f t="shared" si="515"/>
        <v>540.74</v>
      </c>
      <c r="AN189" s="110">
        <f t="shared" si="516"/>
        <v>0</v>
      </c>
      <c r="AQ189" s="110">
        <f t="shared" si="517"/>
        <v>1081.74</v>
      </c>
      <c r="AR189" s="110">
        <f t="shared" si="518"/>
        <v>0</v>
      </c>
      <c r="AU189" s="118">
        <f t="shared" si="583"/>
        <v>540.74</v>
      </c>
      <c r="AV189" s="118">
        <f t="shared" ref="AV189:AV204" si="690">ROUND(AE189*25%,2)</f>
        <v>0</v>
      </c>
      <c r="AW189" s="118"/>
      <c r="AX189" s="118"/>
      <c r="AY189" s="118">
        <f t="shared" si="499"/>
        <v>1802.48</v>
      </c>
      <c r="AZ189" s="110">
        <f t="shared" si="500"/>
        <v>0</v>
      </c>
      <c r="BA189" s="110">
        <f t="shared" si="501"/>
        <v>1802.48</v>
      </c>
      <c r="BB189" s="142">
        <v>1723.96</v>
      </c>
      <c r="BD189" s="142">
        <f t="shared" si="502"/>
        <v>78.519999999999982</v>
      </c>
      <c r="BE189" s="142">
        <f t="shared" si="503"/>
        <v>0</v>
      </c>
      <c r="BF189" s="142">
        <f t="shared" si="504"/>
        <v>344.79</v>
      </c>
      <c r="BG189" s="142">
        <f t="shared" si="505"/>
        <v>0</v>
      </c>
      <c r="BH189" s="110">
        <v>133.13999999999999</v>
      </c>
      <c r="BI189" s="110">
        <v>0</v>
      </c>
      <c r="BL189" s="110">
        <f t="shared" si="526"/>
        <v>1935.62</v>
      </c>
      <c r="BM189" s="110">
        <f t="shared" si="538"/>
        <v>0</v>
      </c>
      <c r="BN189" s="110">
        <f t="shared" si="539"/>
        <v>1935.62</v>
      </c>
      <c r="BO189" s="110">
        <v>1723.96</v>
      </c>
      <c r="BP189" s="129"/>
      <c r="BQ189" s="110">
        <f t="shared" si="540"/>
        <v>211.65999999999985</v>
      </c>
      <c r="BR189" s="110">
        <f t="shared" si="541"/>
        <v>0</v>
      </c>
      <c r="BS189" s="110">
        <f t="shared" si="542"/>
        <v>156.72</v>
      </c>
      <c r="BT189" s="110">
        <f t="shared" si="543"/>
        <v>0</v>
      </c>
      <c r="BU189" s="110">
        <v>0</v>
      </c>
      <c r="BV189" s="110">
        <v>0</v>
      </c>
      <c r="BW189" s="111">
        <v>221.62</v>
      </c>
      <c r="CA189" s="110">
        <f t="shared" si="544"/>
        <v>2157.2399999999998</v>
      </c>
      <c r="CB189" s="110">
        <f t="shared" si="545"/>
        <v>0</v>
      </c>
    </row>
    <row r="190" spans="1:80" ht="36" x14ac:dyDescent="0.3">
      <c r="A190" s="13">
        <v>4</v>
      </c>
      <c r="B190" s="13"/>
      <c r="C190" s="14"/>
      <c r="D190" s="15" t="s">
        <v>306</v>
      </c>
      <c r="E190" s="16"/>
      <c r="F190" s="82">
        <v>506.23</v>
      </c>
      <c r="G190" s="82">
        <v>0</v>
      </c>
      <c r="H190" s="82">
        <v>586.23</v>
      </c>
      <c r="I190" s="17">
        <v>0</v>
      </c>
      <c r="J190" s="87">
        <v>681.26</v>
      </c>
      <c r="K190" s="88"/>
      <c r="L190" s="88"/>
      <c r="M190" s="88">
        <f t="shared" si="679"/>
        <v>681.26</v>
      </c>
      <c r="N190" s="88"/>
      <c r="O190" s="88"/>
      <c r="P190" s="88"/>
      <c r="Q190" s="88">
        <f t="shared" si="680"/>
        <v>0</v>
      </c>
      <c r="R190" s="88">
        <f t="shared" si="681"/>
        <v>681.26</v>
      </c>
      <c r="S190" s="88"/>
      <c r="V190" s="58">
        <f t="shared" ref="V190" si="691">ROUND(H190*1.0583,2)</f>
        <v>620.41</v>
      </c>
      <c r="W190" s="17">
        <f t="shared" ref="W190" si="692">ROUND(I190*1.0327,2)</f>
        <v>0</v>
      </c>
      <c r="X190" s="110">
        <f t="shared" si="506"/>
        <v>60.850000000000023</v>
      </c>
      <c r="Y190" s="110">
        <f t="shared" si="507"/>
        <v>0</v>
      </c>
      <c r="Z190" s="110">
        <v>620.41</v>
      </c>
      <c r="AA190" s="110"/>
      <c r="AB190" s="110">
        <f t="shared" si="508"/>
        <v>620.41</v>
      </c>
      <c r="AC190" s="111">
        <f t="shared" si="509"/>
        <v>0</v>
      </c>
      <c r="AD190" s="110">
        <f t="shared" si="688"/>
        <v>620.41</v>
      </c>
      <c r="AE190" s="110">
        <f t="shared" si="689"/>
        <v>0</v>
      </c>
      <c r="AF190" s="110">
        <f t="shared" si="510"/>
        <v>0</v>
      </c>
      <c r="AG190" s="110">
        <f t="shared" si="511"/>
        <v>155</v>
      </c>
      <c r="AH190" s="110">
        <f t="shared" si="512"/>
        <v>0</v>
      </c>
      <c r="AI190" s="129">
        <f t="shared" si="513"/>
        <v>52</v>
      </c>
      <c r="AJ190" s="110">
        <f t="shared" si="514"/>
        <v>0</v>
      </c>
      <c r="AM190" s="110">
        <f t="shared" si="515"/>
        <v>155.1</v>
      </c>
      <c r="AN190" s="110">
        <f t="shared" si="516"/>
        <v>0</v>
      </c>
      <c r="AQ190" s="110">
        <f t="shared" si="517"/>
        <v>310.10000000000002</v>
      </c>
      <c r="AR190" s="110">
        <f t="shared" si="518"/>
        <v>0</v>
      </c>
      <c r="AU190" s="110">
        <f t="shared" si="583"/>
        <v>155.1</v>
      </c>
      <c r="AV190" s="110">
        <f t="shared" si="690"/>
        <v>0</v>
      </c>
      <c r="AY190" s="110">
        <f t="shared" si="499"/>
        <v>517.20000000000005</v>
      </c>
      <c r="AZ190" s="110">
        <f t="shared" si="500"/>
        <v>0</v>
      </c>
      <c r="BA190" s="110">
        <f t="shared" si="501"/>
        <v>517.20000000000005</v>
      </c>
      <c r="BB190" s="142">
        <v>512.33000000000004</v>
      </c>
      <c r="BD190" s="142">
        <f t="shared" si="502"/>
        <v>4.8700000000000045</v>
      </c>
      <c r="BE190" s="142">
        <f t="shared" si="503"/>
        <v>0</v>
      </c>
      <c r="BF190" s="142">
        <f t="shared" si="504"/>
        <v>102.47</v>
      </c>
      <c r="BG190" s="142">
        <f t="shared" si="505"/>
        <v>0</v>
      </c>
      <c r="BH190" s="110">
        <v>45.68</v>
      </c>
      <c r="BI190" s="110">
        <v>0</v>
      </c>
      <c r="BL190" s="110">
        <f t="shared" si="526"/>
        <v>562.88</v>
      </c>
      <c r="BM190" s="110">
        <f t="shared" si="538"/>
        <v>0</v>
      </c>
      <c r="BN190" s="110">
        <f t="shared" si="539"/>
        <v>562.88</v>
      </c>
      <c r="BO190" s="110">
        <v>512.33000000000004</v>
      </c>
      <c r="BP190" s="129"/>
      <c r="BQ190" s="110">
        <f t="shared" si="540"/>
        <v>50.549999999999955</v>
      </c>
      <c r="BR190" s="110">
        <f t="shared" si="541"/>
        <v>0</v>
      </c>
      <c r="BS190" s="110">
        <f t="shared" si="542"/>
        <v>46.58</v>
      </c>
      <c r="BT190" s="110">
        <f t="shared" si="543"/>
        <v>0</v>
      </c>
      <c r="BU190" s="110">
        <v>0</v>
      </c>
      <c r="BV190" s="110">
        <v>0</v>
      </c>
      <c r="BW190" s="111">
        <v>6</v>
      </c>
      <c r="CA190" s="110">
        <f t="shared" si="544"/>
        <v>568.88</v>
      </c>
      <c r="CB190" s="110">
        <f t="shared" si="545"/>
        <v>0</v>
      </c>
    </row>
    <row r="191" spans="1:80" ht="18" x14ac:dyDescent="0.3">
      <c r="A191" s="18"/>
      <c r="B191" s="18" t="s">
        <v>307</v>
      </c>
      <c r="C191" s="19" t="s">
        <v>89</v>
      </c>
      <c r="D191" s="20" t="s">
        <v>304</v>
      </c>
      <c r="E191" s="21" t="s">
        <v>308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9">
        <f t="shared" ref="J191:AA191" si="693">+J188+J189+J190</f>
        <v>5886.5300000000007</v>
      </c>
      <c r="K191" s="89">
        <f t="shared" si="693"/>
        <v>137</v>
      </c>
      <c r="L191" s="89">
        <f t="shared" si="693"/>
        <v>0.1</v>
      </c>
      <c r="M191" s="89">
        <f t="shared" si="693"/>
        <v>6023.63</v>
      </c>
      <c r="N191" s="89">
        <f t="shared" si="693"/>
        <v>0</v>
      </c>
      <c r="O191" s="89">
        <f t="shared" si="693"/>
        <v>0</v>
      </c>
      <c r="P191" s="89">
        <f t="shared" si="693"/>
        <v>0</v>
      </c>
      <c r="Q191" s="89">
        <f t="shared" si="693"/>
        <v>0</v>
      </c>
      <c r="R191" s="89">
        <f t="shared" si="693"/>
        <v>6023.63</v>
      </c>
      <c r="S191" s="89">
        <f t="shared" si="693"/>
        <v>300</v>
      </c>
      <c r="T191" s="89">
        <f t="shared" si="693"/>
        <v>0</v>
      </c>
      <c r="U191" s="89">
        <f t="shared" si="693"/>
        <v>0</v>
      </c>
      <c r="V191" s="89">
        <f t="shared" si="693"/>
        <v>5423.84</v>
      </c>
      <c r="W191" s="89">
        <f t="shared" si="693"/>
        <v>629.17999999999995</v>
      </c>
      <c r="X191" s="89">
        <f t="shared" si="693"/>
        <v>599.79000000000008</v>
      </c>
      <c r="Y191" s="89">
        <f t="shared" si="693"/>
        <v>-329.17999999999995</v>
      </c>
      <c r="Z191" s="89">
        <f t="shared" si="693"/>
        <v>5423.84</v>
      </c>
      <c r="AA191" s="89">
        <f t="shared" si="693"/>
        <v>0</v>
      </c>
      <c r="AB191" s="22">
        <f t="shared" si="508"/>
        <v>5423.84</v>
      </c>
      <c r="AC191" s="111">
        <f t="shared" si="509"/>
        <v>0</v>
      </c>
      <c r="AD191" s="22">
        <f t="shared" ref="AD191:CB191" si="694">+AD188+AD189+AD190</f>
        <v>5423.84</v>
      </c>
      <c r="AE191" s="22">
        <f t="shared" si="694"/>
        <v>300</v>
      </c>
      <c r="AF191" s="22">
        <f t="shared" si="694"/>
        <v>270.66000000000003</v>
      </c>
      <c r="AG191" s="22">
        <f t="shared" si="694"/>
        <v>1356</v>
      </c>
      <c r="AH191" s="22">
        <f t="shared" si="694"/>
        <v>75</v>
      </c>
      <c r="AI191" s="120">
        <f t="shared" si="694"/>
        <v>452</v>
      </c>
      <c r="AJ191" s="22">
        <f t="shared" si="694"/>
        <v>25</v>
      </c>
      <c r="AK191" s="22">
        <f t="shared" si="694"/>
        <v>0</v>
      </c>
      <c r="AL191" s="22">
        <f t="shared" si="694"/>
        <v>140</v>
      </c>
      <c r="AM191" s="22">
        <f t="shared" si="694"/>
        <v>1355.96</v>
      </c>
      <c r="AN191" s="22">
        <f t="shared" si="694"/>
        <v>73.05</v>
      </c>
      <c r="AO191" s="22">
        <f t="shared" si="694"/>
        <v>0</v>
      </c>
      <c r="AP191" s="22">
        <f t="shared" si="694"/>
        <v>0</v>
      </c>
      <c r="AQ191" s="22">
        <f t="shared" si="694"/>
        <v>2711.9599999999996</v>
      </c>
      <c r="AR191" s="22">
        <f t="shared" si="694"/>
        <v>288.05</v>
      </c>
      <c r="AS191" s="22">
        <f t="shared" si="694"/>
        <v>0</v>
      </c>
      <c r="AT191" s="22">
        <f t="shared" si="694"/>
        <v>0</v>
      </c>
      <c r="AU191" s="22">
        <f t="shared" si="694"/>
        <v>1355.96</v>
      </c>
      <c r="AV191" s="22">
        <f t="shared" si="694"/>
        <v>31.85</v>
      </c>
      <c r="AW191" s="22">
        <f t="shared" si="694"/>
        <v>0</v>
      </c>
      <c r="AX191" s="22">
        <f t="shared" si="694"/>
        <v>0</v>
      </c>
      <c r="AY191" s="22">
        <f t="shared" si="694"/>
        <v>4519.92</v>
      </c>
      <c r="AZ191" s="22">
        <f t="shared" si="694"/>
        <v>344.90000000000003</v>
      </c>
      <c r="BA191" s="22">
        <f t="shared" si="694"/>
        <v>4864.82</v>
      </c>
      <c r="BB191" s="22">
        <f t="shared" si="694"/>
        <v>4334.16</v>
      </c>
      <c r="BC191" s="22">
        <f t="shared" si="694"/>
        <v>290.13</v>
      </c>
      <c r="BD191" s="22">
        <f t="shared" si="694"/>
        <v>185.75999999999988</v>
      </c>
      <c r="BE191" s="22">
        <f t="shared" si="694"/>
        <v>54.770000000000039</v>
      </c>
      <c r="BF191" s="22">
        <f t="shared" si="694"/>
        <v>866.83</v>
      </c>
      <c r="BG191" s="120">
        <f t="shared" si="694"/>
        <v>58.03</v>
      </c>
      <c r="BH191" s="120">
        <f t="shared" si="694"/>
        <v>329.34999999999997</v>
      </c>
      <c r="BI191" s="120">
        <f t="shared" si="694"/>
        <v>0</v>
      </c>
      <c r="BJ191" s="120">
        <f t="shared" si="694"/>
        <v>0</v>
      </c>
      <c r="BK191" s="120">
        <f t="shared" si="694"/>
        <v>0</v>
      </c>
      <c r="BL191" s="120">
        <f t="shared" si="694"/>
        <v>4849.2699999999995</v>
      </c>
      <c r="BM191" s="120">
        <f t="shared" si="694"/>
        <v>344.90000000000003</v>
      </c>
      <c r="BN191" s="120">
        <f t="shared" si="694"/>
        <v>5194.17</v>
      </c>
      <c r="BO191" s="120">
        <f t="shared" si="694"/>
        <v>4559.12</v>
      </c>
      <c r="BP191" s="120">
        <f t="shared" si="694"/>
        <v>299.08</v>
      </c>
      <c r="BQ191" s="22">
        <f t="shared" si="694"/>
        <v>290.14999999999986</v>
      </c>
      <c r="BR191" s="22">
        <f t="shared" si="694"/>
        <v>45.82000000000005</v>
      </c>
      <c r="BS191" s="22">
        <f t="shared" si="694"/>
        <v>414.46999999999997</v>
      </c>
      <c r="BT191" s="22">
        <f t="shared" si="694"/>
        <v>27.19</v>
      </c>
      <c r="BU191" s="22">
        <f t="shared" si="694"/>
        <v>203.22999999999993</v>
      </c>
      <c r="BV191" s="22">
        <f t="shared" si="694"/>
        <v>0</v>
      </c>
      <c r="BW191" s="22">
        <f t="shared" si="694"/>
        <v>232.62</v>
      </c>
      <c r="BX191" s="22">
        <f t="shared" si="694"/>
        <v>0</v>
      </c>
      <c r="BY191" s="22">
        <f t="shared" si="694"/>
        <v>0</v>
      </c>
      <c r="BZ191" s="22">
        <f t="shared" si="694"/>
        <v>0</v>
      </c>
      <c r="CA191" s="22">
        <f t="shared" si="694"/>
        <v>5285.12</v>
      </c>
      <c r="CB191" s="22">
        <f t="shared" si="694"/>
        <v>344.90000000000003</v>
      </c>
    </row>
    <row r="192" spans="1:80" ht="36" x14ac:dyDescent="0.3">
      <c r="A192" s="18">
        <v>5</v>
      </c>
      <c r="B192" s="18" t="s">
        <v>309</v>
      </c>
      <c r="C192" s="19" t="s">
        <v>293</v>
      </c>
      <c r="D192" s="20" t="s">
        <v>310</v>
      </c>
      <c r="E192" s="21" t="s">
        <v>311</v>
      </c>
      <c r="F192" s="82">
        <v>3921.0400000000004</v>
      </c>
      <c r="G192" s="82">
        <v>800.00000000000011</v>
      </c>
      <c r="H192" s="82">
        <v>3941.0400000000004</v>
      </c>
      <c r="I192" s="22">
        <v>800.00000000000011</v>
      </c>
      <c r="J192" s="89">
        <v>4200</v>
      </c>
      <c r="K192" s="89">
        <v>5</v>
      </c>
      <c r="L192" s="89">
        <v>0</v>
      </c>
      <c r="M192" s="89">
        <f>+L192+K192+J192</f>
        <v>4205</v>
      </c>
      <c r="N192" s="89">
        <v>0</v>
      </c>
      <c r="O192" s="89">
        <v>0</v>
      </c>
      <c r="P192" s="89">
        <v>0</v>
      </c>
      <c r="Q192" s="89">
        <f>+P192+O192+N192</f>
        <v>0</v>
      </c>
      <c r="R192" s="89">
        <f>+Q192+M192</f>
        <v>4205</v>
      </c>
      <c r="S192" s="89">
        <v>800</v>
      </c>
      <c r="V192" s="22">
        <f t="shared" ref="V192:V193" si="695">ROUND(H192*1.0583,2)</f>
        <v>4170.8</v>
      </c>
      <c r="W192" s="22">
        <f t="shared" ref="W192:W193" si="696">ROUND(I192*1.0327,2)</f>
        <v>826.16</v>
      </c>
      <c r="X192" s="22">
        <f t="shared" si="506"/>
        <v>34.199999999999818</v>
      </c>
      <c r="Y192" s="22">
        <f t="shared" si="507"/>
        <v>-26.159999999999968</v>
      </c>
      <c r="Z192" s="22">
        <v>4170.8</v>
      </c>
      <c r="AA192" s="22"/>
      <c r="AB192" s="22">
        <f t="shared" si="508"/>
        <v>4170.8</v>
      </c>
      <c r="AC192" s="111">
        <f t="shared" si="509"/>
        <v>0</v>
      </c>
      <c r="AD192" s="22">
        <f t="shared" ref="AD192:AD193" si="697">IF(X192&gt;0,V192,R192)</f>
        <v>4170.8</v>
      </c>
      <c r="AE192" s="22">
        <f t="shared" ref="AE192:AE193" si="698">IF(Y192&gt;0,W192,S192)</f>
        <v>800</v>
      </c>
      <c r="AF192" s="22">
        <f t="shared" si="510"/>
        <v>721.76</v>
      </c>
      <c r="AG192" s="110">
        <f t="shared" si="511"/>
        <v>1043</v>
      </c>
      <c r="AH192" s="110">
        <f t="shared" si="512"/>
        <v>200</v>
      </c>
      <c r="AI192" s="129">
        <f t="shared" si="513"/>
        <v>348</v>
      </c>
      <c r="AJ192" s="110">
        <f t="shared" si="514"/>
        <v>67</v>
      </c>
      <c r="AM192" s="110">
        <f t="shared" si="515"/>
        <v>1042.7</v>
      </c>
      <c r="AN192" s="110">
        <f t="shared" si="516"/>
        <v>194.8</v>
      </c>
      <c r="AQ192" s="110">
        <f t="shared" si="517"/>
        <v>2085.6999999999998</v>
      </c>
      <c r="AR192" s="110">
        <f t="shared" si="518"/>
        <v>394.8</v>
      </c>
      <c r="AU192" s="110">
        <f t="shared" si="583"/>
        <v>1042.7</v>
      </c>
      <c r="AV192" s="110">
        <f t="shared" si="690"/>
        <v>200</v>
      </c>
      <c r="AY192" s="110">
        <f t="shared" ref="AY192:AY255" si="699">+AQ192+AS192+AU192+AW192+AI192</f>
        <v>3476.3999999999996</v>
      </c>
      <c r="AZ192" s="110">
        <f t="shared" ref="AZ192:AZ255" si="700">+AR192+AT192+AV192+AX192+AJ192</f>
        <v>661.8</v>
      </c>
      <c r="BA192" s="110">
        <f t="shared" ref="BA192:BA255" si="701">+AY192+AZ192</f>
        <v>4138.2</v>
      </c>
      <c r="BB192" s="142">
        <v>3411.43</v>
      </c>
      <c r="BC192" s="142">
        <v>616.38</v>
      </c>
      <c r="BD192" s="142">
        <f t="shared" ref="BD192:BD255" si="702">AY192-BB192</f>
        <v>64.9699999999998</v>
      </c>
      <c r="BE192" s="142">
        <f t="shared" ref="BE192:BE255" si="703">AZ192-BC192</f>
        <v>45.419999999999959</v>
      </c>
      <c r="BF192" s="142">
        <f t="shared" ref="BF192:BF255" si="704">ROUND(BB192/10*2,2)</f>
        <v>682.29</v>
      </c>
      <c r="BG192" s="142">
        <f t="shared" ref="BG192:BG255" si="705">ROUND(BC192/10*2,2)</f>
        <v>123.28</v>
      </c>
      <c r="BH192" s="110">
        <v>308.66000000000003</v>
      </c>
      <c r="BI192" s="110">
        <v>38.93</v>
      </c>
      <c r="BK192" s="110">
        <v>150</v>
      </c>
      <c r="BL192" s="110">
        <f t="shared" si="526"/>
        <v>3785.0599999999995</v>
      </c>
      <c r="BM192" s="110">
        <f t="shared" si="538"/>
        <v>850.7299999999999</v>
      </c>
      <c r="BN192" s="110">
        <f t="shared" si="539"/>
        <v>4635.7899999999991</v>
      </c>
      <c r="BO192" s="110">
        <v>3767.88</v>
      </c>
      <c r="BP192" s="129">
        <v>781.27</v>
      </c>
      <c r="BQ192" s="110">
        <f t="shared" si="540"/>
        <v>17.179999999999382</v>
      </c>
      <c r="BR192" s="110">
        <f t="shared" si="541"/>
        <v>69.459999999999923</v>
      </c>
      <c r="BS192" s="110">
        <f t="shared" si="542"/>
        <v>342.53</v>
      </c>
      <c r="BT192" s="110">
        <f t="shared" si="543"/>
        <v>71.02</v>
      </c>
      <c r="BU192" s="110">
        <v>325.35000000000002</v>
      </c>
      <c r="BV192" s="110">
        <v>0</v>
      </c>
      <c r="BW192" s="111">
        <v>14.65</v>
      </c>
      <c r="BX192" s="110">
        <f>150+74.27</f>
        <v>224.26999999999998</v>
      </c>
      <c r="CA192" s="110">
        <f t="shared" si="544"/>
        <v>4125.0599999999995</v>
      </c>
      <c r="CB192" s="110">
        <f t="shared" si="545"/>
        <v>1075</v>
      </c>
    </row>
    <row r="193" spans="1:80" ht="18" x14ac:dyDescent="0.3">
      <c r="A193" s="13">
        <v>6</v>
      </c>
      <c r="B193" s="13"/>
      <c r="C193" s="14"/>
      <c r="D193" s="15" t="s">
        <v>312</v>
      </c>
      <c r="E193" s="16"/>
      <c r="F193" s="82">
        <v>2552.2200000000003</v>
      </c>
      <c r="G193" s="82">
        <v>638.61</v>
      </c>
      <c r="H193" s="82">
        <v>2525.8300000000004</v>
      </c>
      <c r="I193" s="17">
        <v>665.00000000000011</v>
      </c>
      <c r="J193" s="87">
        <v>3165</v>
      </c>
      <c r="K193" s="88">
        <v>0</v>
      </c>
      <c r="L193" s="88">
        <v>0</v>
      </c>
      <c r="M193" s="88">
        <f t="shared" ref="M193:M194" si="706">J193+K193+L193</f>
        <v>3165</v>
      </c>
      <c r="N193" s="88">
        <v>0</v>
      </c>
      <c r="O193" s="88">
        <v>0</v>
      </c>
      <c r="P193" s="88">
        <v>0</v>
      </c>
      <c r="Q193" s="88">
        <f t="shared" ref="Q193:Q194" si="707">N193+O193+P193</f>
        <v>0</v>
      </c>
      <c r="R193" s="88">
        <f t="shared" ref="R193:R194" si="708">+Q193+M193</f>
        <v>3165</v>
      </c>
      <c r="S193" s="88">
        <v>850</v>
      </c>
      <c r="V193" s="17">
        <f t="shared" si="695"/>
        <v>2673.09</v>
      </c>
      <c r="W193" s="17">
        <f t="shared" si="696"/>
        <v>686.75</v>
      </c>
      <c r="X193" s="110">
        <f t="shared" ref="X193:X255" si="709">R193-V193</f>
        <v>491.90999999999985</v>
      </c>
      <c r="Y193" s="110">
        <f t="shared" ref="Y193:Y255" si="710">S193-W193</f>
        <v>163.25</v>
      </c>
      <c r="Z193" s="110">
        <v>2673.09</v>
      </c>
      <c r="AA193" s="110"/>
      <c r="AB193" s="110">
        <f t="shared" ref="AB193:AB256" si="711">Z193+AA193</f>
        <v>2673.09</v>
      </c>
      <c r="AC193" s="111">
        <f t="shared" ref="AC193:AC256" si="712">AD193-AB193</f>
        <v>0</v>
      </c>
      <c r="AD193" s="110">
        <f t="shared" si="697"/>
        <v>2673.09</v>
      </c>
      <c r="AE193" s="110">
        <f t="shared" si="698"/>
        <v>686.75</v>
      </c>
      <c r="AF193" s="110">
        <f t="shared" ref="AF193:AF255" si="713">ROUND(S193*0.9022,2)</f>
        <v>766.87</v>
      </c>
      <c r="AG193" s="110">
        <f t="shared" ref="AG193:AG255" si="714">ROUND(AD193/4,0)</f>
        <v>668</v>
      </c>
      <c r="AH193" s="110">
        <f t="shared" ref="AH193:AH255" si="715">ROUND(AE193/4,0)</f>
        <v>172</v>
      </c>
      <c r="AI193" s="129">
        <f t="shared" ref="AI193:AI255" si="716">ROUND(AD193/12,0)</f>
        <v>223</v>
      </c>
      <c r="AJ193" s="110">
        <f t="shared" ref="AJ193:AJ255" si="717">ROUND(AE193/12,0)</f>
        <v>57</v>
      </c>
      <c r="AM193" s="110">
        <f t="shared" ref="AM193:AM255" si="718">ROUND(AD193*25%,2)</f>
        <v>668.27</v>
      </c>
      <c r="AN193" s="110">
        <f t="shared" ref="AN193:AN255" si="719">ROUND(AE193*24.35%,2)</f>
        <v>167.22</v>
      </c>
      <c r="AQ193" s="110">
        <f t="shared" ref="AQ193:AQ255" si="720">+AM193+AK193+AG193+AO193</f>
        <v>1336.27</v>
      </c>
      <c r="AR193" s="110">
        <f t="shared" ref="AR193:AR255" si="721">+AN193+AL193+AH193+AP193</f>
        <v>339.22</v>
      </c>
      <c r="AU193" s="110">
        <f t="shared" si="583"/>
        <v>668.27</v>
      </c>
      <c r="AV193" s="110">
        <f t="shared" si="690"/>
        <v>171.69</v>
      </c>
      <c r="AY193" s="110">
        <f t="shared" si="699"/>
        <v>2227.54</v>
      </c>
      <c r="AZ193" s="110">
        <f t="shared" si="700"/>
        <v>567.91000000000008</v>
      </c>
      <c r="BA193" s="110">
        <f t="shared" si="701"/>
        <v>2795.45</v>
      </c>
      <c r="BB193" s="142">
        <v>2120.41</v>
      </c>
      <c r="BC193" s="142">
        <v>591.46</v>
      </c>
      <c r="BD193" s="142">
        <f t="shared" si="702"/>
        <v>107.13000000000011</v>
      </c>
      <c r="BE193" s="142">
        <f t="shared" si="703"/>
        <v>-23.549999999999955</v>
      </c>
      <c r="BF193" s="142">
        <f t="shared" si="704"/>
        <v>424.08</v>
      </c>
      <c r="BG193" s="142">
        <f t="shared" si="705"/>
        <v>118.29</v>
      </c>
      <c r="BH193" s="146">
        <f>158.48+8.65</f>
        <v>167.13</v>
      </c>
      <c r="BI193" s="110">
        <v>60</v>
      </c>
      <c r="BL193" s="110">
        <f t="shared" si="526"/>
        <v>2394.67</v>
      </c>
      <c r="BM193" s="110">
        <f t="shared" si="538"/>
        <v>627.91000000000008</v>
      </c>
      <c r="BN193" s="110">
        <f t="shared" si="539"/>
        <v>3022.58</v>
      </c>
      <c r="BO193" s="110">
        <v>2341.09</v>
      </c>
      <c r="BP193" s="129">
        <v>629.4</v>
      </c>
      <c r="BQ193" s="110">
        <f t="shared" si="540"/>
        <v>53.579999999999927</v>
      </c>
      <c r="BR193" s="110">
        <f t="shared" si="541"/>
        <v>-1.4899999999998954</v>
      </c>
      <c r="BS193" s="110">
        <f t="shared" si="542"/>
        <v>212.83</v>
      </c>
      <c r="BT193" s="110">
        <f t="shared" si="543"/>
        <v>57.22</v>
      </c>
      <c r="BU193" s="146">
        <f>BS193-BQ193+21.47+8.65</f>
        <v>189.37000000000009</v>
      </c>
      <c r="BV193" s="110">
        <f>ROUND(BT193-BR193,2)</f>
        <v>58.71</v>
      </c>
      <c r="BW193" s="111">
        <v>114.4</v>
      </c>
      <c r="CA193" s="110">
        <f t="shared" si="544"/>
        <v>2698.44</v>
      </c>
      <c r="CB193" s="110">
        <f t="shared" si="545"/>
        <v>686.62000000000012</v>
      </c>
    </row>
    <row r="194" spans="1:80" ht="18" x14ac:dyDescent="0.3">
      <c r="A194" s="13">
        <v>7</v>
      </c>
      <c r="B194" s="13"/>
      <c r="C194" s="14"/>
      <c r="D194" s="15" t="s">
        <v>313</v>
      </c>
      <c r="E194" s="16"/>
      <c r="F194" s="82">
        <v>444.91999999999996</v>
      </c>
      <c r="G194" s="82">
        <v>0</v>
      </c>
      <c r="H194" s="82">
        <v>444.91999999999996</v>
      </c>
      <c r="I194" s="17">
        <v>0</v>
      </c>
      <c r="J194" s="87">
        <v>590.29999999999995</v>
      </c>
      <c r="K194" s="88">
        <v>0</v>
      </c>
      <c r="L194" s="88">
        <v>0</v>
      </c>
      <c r="M194" s="88">
        <f t="shared" si="706"/>
        <v>590.29999999999995</v>
      </c>
      <c r="N194" s="88">
        <v>0</v>
      </c>
      <c r="O194" s="88">
        <v>0</v>
      </c>
      <c r="P194" s="88">
        <v>0</v>
      </c>
      <c r="Q194" s="88">
        <f t="shared" si="707"/>
        <v>0</v>
      </c>
      <c r="R194" s="88">
        <f t="shared" si="708"/>
        <v>590.29999999999995</v>
      </c>
      <c r="S194" s="88">
        <v>0</v>
      </c>
      <c r="V194" s="17">
        <f t="shared" ref="V194" si="722">ROUND(H194*1.0583,2)</f>
        <v>470.86</v>
      </c>
      <c r="W194" s="17">
        <f t="shared" ref="W194" si="723">ROUND(I194*1.0327,2)</f>
        <v>0</v>
      </c>
      <c r="X194" s="110">
        <f t="shared" si="709"/>
        <v>119.43999999999994</v>
      </c>
      <c r="Y194" s="110">
        <f t="shared" si="710"/>
        <v>0</v>
      </c>
      <c r="Z194" s="110">
        <v>470.86</v>
      </c>
      <c r="AA194" s="110"/>
      <c r="AB194" s="110">
        <f t="shared" si="711"/>
        <v>470.86</v>
      </c>
      <c r="AC194" s="111">
        <f t="shared" si="712"/>
        <v>0</v>
      </c>
      <c r="AD194" s="110">
        <f t="shared" ref="AD194" si="724">IF(X194&gt;0,V194,R194)</f>
        <v>470.86</v>
      </c>
      <c r="AE194" s="110">
        <f t="shared" ref="AE194" si="725">IF(Y194&gt;0,W194,S194)</f>
        <v>0</v>
      </c>
      <c r="AF194" s="110">
        <f t="shared" si="713"/>
        <v>0</v>
      </c>
      <c r="AG194" s="110">
        <f t="shared" si="714"/>
        <v>118</v>
      </c>
      <c r="AH194" s="110">
        <f t="shared" si="715"/>
        <v>0</v>
      </c>
      <c r="AI194" s="129">
        <f t="shared" si="716"/>
        <v>39</v>
      </c>
      <c r="AJ194" s="110">
        <f t="shared" si="717"/>
        <v>0</v>
      </c>
      <c r="AM194" s="110">
        <f t="shared" si="718"/>
        <v>117.72</v>
      </c>
      <c r="AN194" s="110">
        <f t="shared" si="719"/>
        <v>0</v>
      </c>
      <c r="AQ194" s="110">
        <f t="shared" si="720"/>
        <v>235.72</v>
      </c>
      <c r="AR194" s="110">
        <f t="shared" si="721"/>
        <v>0</v>
      </c>
      <c r="AU194" s="110">
        <f t="shared" si="583"/>
        <v>117.72</v>
      </c>
      <c r="AV194" s="110">
        <f t="shared" si="690"/>
        <v>0</v>
      </c>
      <c r="AY194" s="110">
        <f t="shared" si="699"/>
        <v>392.44</v>
      </c>
      <c r="AZ194" s="110">
        <f t="shared" si="700"/>
        <v>0</v>
      </c>
      <c r="BA194" s="110">
        <f t="shared" si="701"/>
        <v>392.44</v>
      </c>
      <c r="BB194" s="142">
        <v>392.44</v>
      </c>
      <c r="BD194" s="142">
        <f t="shared" si="702"/>
        <v>0</v>
      </c>
      <c r="BE194" s="142">
        <f t="shared" si="703"/>
        <v>0</v>
      </c>
      <c r="BF194" s="142">
        <f t="shared" si="704"/>
        <v>78.489999999999995</v>
      </c>
      <c r="BG194" s="142">
        <f t="shared" si="705"/>
        <v>0</v>
      </c>
      <c r="BH194" s="146">
        <f>14.21-8.65</f>
        <v>5.5600000000000005</v>
      </c>
      <c r="BI194" s="110">
        <v>0</v>
      </c>
      <c r="BL194" s="110">
        <f t="shared" si="526"/>
        <v>398</v>
      </c>
      <c r="BM194" s="110">
        <f t="shared" si="538"/>
        <v>0</v>
      </c>
      <c r="BN194" s="110">
        <f t="shared" si="539"/>
        <v>398</v>
      </c>
      <c r="BO194" s="110">
        <v>392.44</v>
      </c>
      <c r="BP194" s="129"/>
      <c r="BQ194" s="110">
        <f t="shared" si="540"/>
        <v>5.5600000000000023</v>
      </c>
      <c r="BR194" s="110">
        <f t="shared" si="541"/>
        <v>0</v>
      </c>
      <c r="BS194" s="110">
        <f t="shared" si="542"/>
        <v>35.68</v>
      </c>
      <c r="BT194" s="110">
        <f t="shared" si="543"/>
        <v>0</v>
      </c>
      <c r="BU194" s="146">
        <f>BS194-BQ194-21.47-8.65</f>
        <v>0</v>
      </c>
      <c r="BV194" s="110">
        <f t="shared" ref="BV194" si="726">ROUND(BT194-BR194,2)</f>
        <v>0</v>
      </c>
      <c r="CA194" s="110">
        <f t="shared" si="544"/>
        <v>398</v>
      </c>
      <c r="CB194" s="110">
        <f t="shared" si="545"/>
        <v>0</v>
      </c>
    </row>
    <row r="195" spans="1:80" ht="18" x14ac:dyDescent="0.3">
      <c r="A195" s="18"/>
      <c r="B195" s="18" t="s">
        <v>314</v>
      </c>
      <c r="C195" s="19" t="s">
        <v>118</v>
      </c>
      <c r="D195" s="20" t="s">
        <v>312</v>
      </c>
      <c r="E195" s="21" t="s">
        <v>315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9">
        <f t="shared" ref="J195:AA195" si="727">+J193+J194</f>
        <v>3755.3</v>
      </c>
      <c r="K195" s="89">
        <f t="shared" si="727"/>
        <v>0</v>
      </c>
      <c r="L195" s="89">
        <f t="shared" si="727"/>
        <v>0</v>
      </c>
      <c r="M195" s="89">
        <f t="shared" si="727"/>
        <v>3755.3</v>
      </c>
      <c r="N195" s="89">
        <f t="shared" si="727"/>
        <v>0</v>
      </c>
      <c r="O195" s="89">
        <f t="shared" si="727"/>
        <v>0</v>
      </c>
      <c r="P195" s="89">
        <f t="shared" si="727"/>
        <v>0</v>
      </c>
      <c r="Q195" s="89">
        <f t="shared" si="727"/>
        <v>0</v>
      </c>
      <c r="R195" s="89">
        <f t="shared" si="727"/>
        <v>3755.3</v>
      </c>
      <c r="S195" s="89">
        <f t="shared" si="727"/>
        <v>850</v>
      </c>
      <c r="T195" s="89">
        <f t="shared" si="727"/>
        <v>0</v>
      </c>
      <c r="U195" s="89">
        <f t="shared" si="727"/>
        <v>0</v>
      </c>
      <c r="V195" s="89">
        <f t="shared" si="727"/>
        <v>3143.9500000000003</v>
      </c>
      <c r="W195" s="89">
        <f t="shared" si="727"/>
        <v>686.75</v>
      </c>
      <c r="X195" s="89">
        <f t="shared" si="727"/>
        <v>611.3499999999998</v>
      </c>
      <c r="Y195" s="89">
        <f t="shared" si="727"/>
        <v>163.25</v>
      </c>
      <c r="Z195" s="89">
        <f t="shared" si="727"/>
        <v>3143.9500000000003</v>
      </c>
      <c r="AA195" s="89">
        <f t="shared" si="727"/>
        <v>0</v>
      </c>
      <c r="AB195" s="22">
        <f t="shared" si="711"/>
        <v>3143.9500000000003</v>
      </c>
      <c r="AC195" s="111">
        <f t="shared" si="712"/>
        <v>0</v>
      </c>
      <c r="AD195" s="22">
        <f t="shared" ref="AD195:CB195" si="728">+AD193+AD194</f>
        <v>3143.9500000000003</v>
      </c>
      <c r="AE195" s="22">
        <f t="shared" si="728"/>
        <v>686.75</v>
      </c>
      <c r="AF195" s="22">
        <f t="shared" si="728"/>
        <v>766.87</v>
      </c>
      <c r="AG195" s="22">
        <f t="shared" si="728"/>
        <v>786</v>
      </c>
      <c r="AH195" s="22">
        <f t="shared" si="728"/>
        <v>172</v>
      </c>
      <c r="AI195" s="120">
        <f t="shared" si="728"/>
        <v>262</v>
      </c>
      <c r="AJ195" s="22">
        <f t="shared" si="728"/>
        <v>57</v>
      </c>
      <c r="AK195" s="22">
        <f t="shared" si="728"/>
        <v>0</v>
      </c>
      <c r="AL195" s="22">
        <f t="shared" si="728"/>
        <v>0</v>
      </c>
      <c r="AM195" s="22">
        <f t="shared" si="728"/>
        <v>785.99</v>
      </c>
      <c r="AN195" s="22">
        <f t="shared" si="728"/>
        <v>167.22</v>
      </c>
      <c r="AO195" s="22">
        <f t="shared" si="728"/>
        <v>0</v>
      </c>
      <c r="AP195" s="22">
        <f t="shared" si="728"/>
        <v>0</v>
      </c>
      <c r="AQ195" s="22">
        <f t="shared" si="728"/>
        <v>1571.99</v>
      </c>
      <c r="AR195" s="22">
        <f t="shared" si="728"/>
        <v>339.22</v>
      </c>
      <c r="AS195" s="22">
        <f t="shared" si="728"/>
        <v>0</v>
      </c>
      <c r="AT195" s="22">
        <f t="shared" si="728"/>
        <v>0</v>
      </c>
      <c r="AU195" s="22">
        <f t="shared" si="728"/>
        <v>785.99</v>
      </c>
      <c r="AV195" s="22">
        <f t="shared" si="728"/>
        <v>171.69</v>
      </c>
      <c r="AW195" s="22">
        <f t="shared" si="728"/>
        <v>0</v>
      </c>
      <c r="AX195" s="22">
        <f t="shared" si="728"/>
        <v>0</v>
      </c>
      <c r="AY195" s="22">
        <f t="shared" si="728"/>
        <v>2619.98</v>
      </c>
      <c r="AZ195" s="22">
        <f t="shared" si="728"/>
        <v>567.91000000000008</v>
      </c>
      <c r="BA195" s="22">
        <f t="shared" si="728"/>
        <v>3187.89</v>
      </c>
      <c r="BB195" s="22">
        <f t="shared" si="728"/>
        <v>2512.85</v>
      </c>
      <c r="BC195" s="22">
        <f t="shared" si="728"/>
        <v>591.46</v>
      </c>
      <c r="BD195" s="22">
        <f t="shared" si="728"/>
        <v>107.13000000000011</v>
      </c>
      <c r="BE195" s="22">
        <f t="shared" si="728"/>
        <v>-23.549999999999955</v>
      </c>
      <c r="BF195" s="22">
        <f t="shared" si="728"/>
        <v>502.57</v>
      </c>
      <c r="BG195" s="120">
        <f t="shared" si="728"/>
        <v>118.29</v>
      </c>
      <c r="BH195" s="120">
        <f t="shared" si="728"/>
        <v>172.69</v>
      </c>
      <c r="BI195" s="120">
        <f t="shared" si="728"/>
        <v>60</v>
      </c>
      <c r="BJ195" s="120">
        <f t="shared" si="728"/>
        <v>0</v>
      </c>
      <c r="BK195" s="120">
        <f t="shared" si="728"/>
        <v>0</v>
      </c>
      <c r="BL195" s="120">
        <f t="shared" si="728"/>
        <v>2792.67</v>
      </c>
      <c r="BM195" s="120">
        <f t="shared" si="728"/>
        <v>627.91000000000008</v>
      </c>
      <c r="BN195" s="120">
        <f t="shared" si="728"/>
        <v>3420.58</v>
      </c>
      <c r="BO195" s="120">
        <f t="shared" si="728"/>
        <v>2733.53</v>
      </c>
      <c r="BP195" s="120">
        <f t="shared" si="728"/>
        <v>629.4</v>
      </c>
      <c r="BQ195" s="22">
        <f t="shared" si="728"/>
        <v>59.13999999999993</v>
      </c>
      <c r="BR195" s="22">
        <f t="shared" si="728"/>
        <v>-1.4899999999998954</v>
      </c>
      <c r="BS195" s="22">
        <f t="shared" si="728"/>
        <v>248.51000000000002</v>
      </c>
      <c r="BT195" s="22">
        <f t="shared" si="728"/>
        <v>57.22</v>
      </c>
      <c r="BU195" s="22">
        <f t="shared" si="728"/>
        <v>189.37000000000009</v>
      </c>
      <c r="BV195" s="22">
        <f t="shared" si="728"/>
        <v>58.71</v>
      </c>
      <c r="BW195" s="22">
        <f t="shared" si="728"/>
        <v>114.4</v>
      </c>
      <c r="BX195" s="22">
        <f t="shared" si="728"/>
        <v>0</v>
      </c>
      <c r="BY195" s="22">
        <f t="shared" si="728"/>
        <v>0</v>
      </c>
      <c r="BZ195" s="22">
        <f t="shared" si="728"/>
        <v>0</v>
      </c>
      <c r="CA195" s="22">
        <f t="shared" si="728"/>
        <v>3096.44</v>
      </c>
      <c r="CB195" s="22">
        <f t="shared" si="728"/>
        <v>686.62000000000012</v>
      </c>
    </row>
    <row r="196" spans="1:80" ht="18" x14ac:dyDescent="0.3">
      <c r="A196" s="18">
        <v>8</v>
      </c>
      <c r="B196" s="18" t="s">
        <v>316</v>
      </c>
      <c r="C196" s="19" t="s">
        <v>317</v>
      </c>
      <c r="D196" s="20" t="s">
        <v>318</v>
      </c>
      <c r="E196" s="21" t="s">
        <v>319</v>
      </c>
      <c r="F196" s="82">
        <v>5752.3</v>
      </c>
      <c r="G196" s="82">
        <v>1259.1599999999999</v>
      </c>
      <c r="H196" s="82">
        <v>5539.2300000000005</v>
      </c>
      <c r="I196" s="22">
        <v>1203.1599999999999</v>
      </c>
      <c r="J196" s="89">
        <v>6270</v>
      </c>
      <c r="K196" s="89">
        <v>1158.01</v>
      </c>
      <c r="L196" s="89">
        <v>0</v>
      </c>
      <c r="M196" s="89">
        <f>+L196+K196+J196</f>
        <v>7428.01</v>
      </c>
      <c r="N196" s="89">
        <v>0</v>
      </c>
      <c r="O196" s="89">
        <v>0</v>
      </c>
      <c r="P196" s="89">
        <v>0</v>
      </c>
      <c r="Q196" s="89">
        <f>+P196+O196+N196</f>
        <v>0</v>
      </c>
      <c r="R196" s="89">
        <f>+Q196+M196</f>
        <v>7428.01</v>
      </c>
      <c r="S196" s="89">
        <v>1870</v>
      </c>
      <c r="V196" s="22">
        <f t="shared" ref="V196:V199" si="729">ROUND(H196*1.0583,2)</f>
        <v>5862.17</v>
      </c>
      <c r="W196" s="22">
        <f t="shared" ref="W196:W199" si="730">ROUND(I196*1.0327,2)</f>
        <v>1242.5</v>
      </c>
      <c r="X196" s="22">
        <f t="shared" si="709"/>
        <v>1565.8400000000001</v>
      </c>
      <c r="Y196" s="22">
        <f t="shared" si="710"/>
        <v>627.5</v>
      </c>
      <c r="Z196" s="22">
        <v>6662.17</v>
      </c>
      <c r="AA196" s="22"/>
      <c r="AB196" s="22">
        <f t="shared" si="711"/>
        <v>6662.17</v>
      </c>
      <c r="AC196" s="111">
        <f t="shared" si="712"/>
        <v>0</v>
      </c>
      <c r="AD196" s="22">
        <f>IF(X196&gt;0,V196,R196)+800</f>
        <v>6662.17</v>
      </c>
      <c r="AE196" s="22">
        <f t="shared" ref="AE196:AE197" si="731">IF(Y196&gt;0,W196,S196)</f>
        <v>1242.5</v>
      </c>
      <c r="AF196" s="22">
        <f t="shared" si="713"/>
        <v>1687.11</v>
      </c>
      <c r="AG196" s="110">
        <f t="shared" si="714"/>
        <v>1666</v>
      </c>
      <c r="AH196" s="110">
        <f t="shared" si="715"/>
        <v>311</v>
      </c>
      <c r="AI196" s="129">
        <f t="shared" si="716"/>
        <v>555</v>
      </c>
      <c r="AJ196" s="110">
        <f t="shared" si="717"/>
        <v>104</v>
      </c>
      <c r="AM196" s="110">
        <f t="shared" si="718"/>
        <v>1665.54</v>
      </c>
      <c r="AN196" s="110">
        <f t="shared" si="719"/>
        <v>302.55</v>
      </c>
      <c r="AQ196" s="110">
        <f t="shared" si="720"/>
        <v>3331.54</v>
      </c>
      <c r="AR196" s="110">
        <f t="shared" si="721"/>
        <v>613.54999999999995</v>
      </c>
      <c r="AU196" s="110">
        <f t="shared" si="583"/>
        <v>1665.54</v>
      </c>
      <c r="AV196" s="110">
        <f t="shared" si="690"/>
        <v>310.63</v>
      </c>
      <c r="AY196" s="110">
        <f t="shared" si="699"/>
        <v>5552.08</v>
      </c>
      <c r="AZ196" s="110">
        <f t="shared" si="700"/>
        <v>1028.1799999999998</v>
      </c>
      <c r="BA196" s="110">
        <f t="shared" si="701"/>
        <v>6580.26</v>
      </c>
      <c r="BB196" s="142">
        <v>4478.16</v>
      </c>
      <c r="BC196" s="142">
        <v>256.31</v>
      </c>
      <c r="BD196" s="142">
        <f t="shared" si="702"/>
        <v>1073.92</v>
      </c>
      <c r="BE196" s="142">
        <f t="shared" si="703"/>
        <v>771.86999999999989</v>
      </c>
      <c r="BF196" s="142">
        <f t="shared" si="704"/>
        <v>895.63</v>
      </c>
      <c r="BG196" s="142">
        <f t="shared" si="705"/>
        <v>51.26</v>
      </c>
      <c r="BH196" s="110">
        <v>0</v>
      </c>
      <c r="BI196" s="110">
        <v>0</v>
      </c>
      <c r="BL196" s="110">
        <f t="shared" si="526"/>
        <v>5552.08</v>
      </c>
      <c r="BM196" s="110">
        <f t="shared" si="538"/>
        <v>1028.1799999999998</v>
      </c>
      <c r="BN196" s="110">
        <f t="shared" si="539"/>
        <v>6580.26</v>
      </c>
      <c r="BO196" s="110">
        <v>5031.3999999999996</v>
      </c>
      <c r="BP196" s="129">
        <v>342.45</v>
      </c>
      <c r="BQ196" s="110">
        <f t="shared" si="540"/>
        <v>520.68000000000029</v>
      </c>
      <c r="BR196" s="110">
        <f t="shared" si="541"/>
        <v>685.72999999999979</v>
      </c>
      <c r="BS196" s="110">
        <f t="shared" si="542"/>
        <v>457.4</v>
      </c>
      <c r="BT196" s="110">
        <f t="shared" si="543"/>
        <v>31.13</v>
      </c>
      <c r="BU196" s="110">
        <v>0</v>
      </c>
      <c r="BV196" s="110">
        <v>0</v>
      </c>
      <c r="BY196" s="110">
        <v>364</v>
      </c>
      <c r="CA196" s="110">
        <f t="shared" si="544"/>
        <v>5552.08</v>
      </c>
      <c r="CB196" s="110">
        <f>+BM196+BV196+BX196-BY196</f>
        <v>664.17999999999984</v>
      </c>
    </row>
    <row r="197" spans="1:80" ht="18" x14ac:dyDescent="0.3">
      <c r="A197" s="18">
        <v>9</v>
      </c>
      <c r="B197" s="18" t="s">
        <v>320</v>
      </c>
      <c r="C197" s="19" t="s">
        <v>208</v>
      </c>
      <c r="D197" s="20" t="s">
        <v>321</v>
      </c>
      <c r="E197" s="21" t="s">
        <v>322</v>
      </c>
      <c r="F197" s="82">
        <v>2392.0499999999997</v>
      </c>
      <c r="G197" s="82">
        <v>298.33</v>
      </c>
      <c r="H197" s="82">
        <v>2392.0499999999997</v>
      </c>
      <c r="I197" s="22">
        <v>298.33</v>
      </c>
      <c r="J197" s="89">
        <v>2600</v>
      </c>
      <c r="K197" s="89">
        <v>0</v>
      </c>
      <c r="L197" s="89">
        <v>0</v>
      </c>
      <c r="M197" s="89">
        <f t="shared" ref="M197:M198" si="732">+L197+K197+J197</f>
        <v>2600</v>
      </c>
      <c r="N197" s="89">
        <v>0</v>
      </c>
      <c r="O197" s="89">
        <v>0</v>
      </c>
      <c r="P197" s="89">
        <v>0</v>
      </c>
      <c r="Q197" s="89">
        <f t="shared" ref="Q197:Q198" si="733">+P197+O197+N197</f>
        <v>0</v>
      </c>
      <c r="R197" s="89">
        <f t="shared" ref="R197:R222" si="734">+Q197+M197</f>
        <v>2600</v>
      </c>
      <c r="S197" s="89">
        <v>400</v>
      </c>
      <c r="V197" s="22">
        <f t="shared" si="729"/>
        <v>2531.5100000000002</v>
      </c>
      <c r="W197" s="22">
        <f t="shared" si="730"/>
        <v>308.08999999999997</v>
      </c>
      <c r="X197" s="22">
        <f t="shared" si="709"/>
        <v>68.489999999999782</v>
      </c>
      <c r="Y197" s="22">
        <f t="shared" si="710"/>
        <v>91.910000000000025</v>
      </c>
      <c r="Z197" s="22">
        <v>2531.5100000000002</v>
      </c>
      <c r="AA197" s="22"/>
      <c r="AB197" s="22">
        <f t="shared" si="711"/>
        <v>2531.5100000000002</v>
      </c>
      <c r="AC197" s="111">
        <f t="shared" si="712"/>
        <v>0</v>
      </c>
      <c r="AD197" s="22">
        <f t="shared" ref="AD197:AD199" si="735">IF(X197&gt;0,V197,R197)</f>
        <v>2531.5100000000002</v>
      </c>
      <c r="AE197" s="22">
        <f t="shared" si="731"/>
        <v>308.08999999999997</v>
      </c>
      <c r="AF197" s="22">
        <f t="shared" si="713"/>
        <v>360.88</v>
      </c>
      <c r="AG197" s="110">
        <f t="shared" si="714"/>
        <v>633</v>
      </c>
      <c r="AH197" s="110">
        <f t="shared" si="715"/>
        <v>77</v>
      </c>
      <c r="AI197" s="129">
        <f t="shared" si="716"/>
        <v>211</v>
      </c>
      <c r="AJ197" s="110">
        <f t="shared" si="717"/>
        <v>26</v>
      </c>
      <c r="AM197" s="110">
        <f t="shared" si="718"/>
        <v>632.88</v>
      </c>
      <c r="AN197" s="110">
        <f t="shared" si="719"/>
        <v>75.02</v>
      </c>
      <c r="AQ197" s="110">
        <f t="shared" si="720"/>
        <v>1265.8800000000001</v>
      </c>
      <c r="AR197" s="110">
        <f t="shared" si="721"/>
        <v>152.01999999999998</v>
      </c>
      <c r="AU197" s="110">
        <f t="shared" si="583"/>
        <v>632.88</v>
      </c>
      <c r="AV197" s="144">
        <f>ROUND(AE197*25%,2)-77.02</f>
        <v>0</v>
      </c>
      <c r="AW197" s="144"/>
      <c r="AX197" s="144"/>
      <c r="AY197" s="110">
        <f t="shared" si="699"/>
        <v>2109.7600000000002</v>
      </c>
      <c r="AZ197" s="110">
        <f t="shared" si="700"/>
        <v>178.01999999999998</v>
      </c>
      <c r="BA197" s="110">
        <f t="shared" si="701"/>
        <v>2287.7800000000002</v>
      </c>
      <c r="BB197" s="142">
        <v>2083.87</v>
      </c>
      <c r="BC197" s="142">
        <v>132.30000000000001</v>
      </c>
      <c r="BD197" s="142">
        <f t="shared" si="702"/>
        <v>25.890000000000327</v>
      </c>
      <c r="BE197" s="142">
        <f t="shared" si="703"/>
        <v>45.71999999999997</v>
      </c>
      <c r="BF197" s="142">
        <f t="shared" si="704"/>
        <v>416.77</v>
      </c>
      <c r="BG197" s="142">
        <f t="shared" si="705"/>
        <v>26.46</v>
      </c>
      <c r="BH197" s="110">
        <v>190.12</v>
      </c>
      <c r="BI197" s="110">
        <v>0</v>
      </c>
      <c r="BL197" s="110">
        <f t="shared" ref="BL197:BL259" si="736">+BH197+AY197+BJ197</f>
        <v>2299.88</v>
      </c>
      <c r="BM197" s="110">
        <f t="shared" si="538"/>
        <v>178.01999999999998</v>
      </c>
      <c r="BN197" s="110">
        <f t="shared" si="539"/>
        <v>2477.9</v>
      </c>
      <c r="BO197" s="110">
        <v>2301.79</v>
      </c>
      <c r="BP197" s="129">
        <v>138.9</v>
      </c>
      <c r="BQ197" s="110">
        <f t="shared" si="540"/>
        <v>-1.9099999999998545</v>
      </c>
      <c r="BR197" s="110">
        <f t="shared" si="541"/>
        <v>39.119999999999976</v>
      </c>
      <c r="BS197" s="110">
        <f t="shared" si="542"/>
        <v>209.25</v>
      </c>
      <c r="BT197" s="110">
        <f t="shared" si="543"/>
        <v>12.63</v>
      </c>
      <c r="BU197" s="146">
        <f>BS197-BQ197+20</f>
        <v>231.15999999999985</v>
      </c>
      <c r="BV197" s="110">
        <v>0</v>
      </c>
      <c r="CA197" s="110">
        <f t="shared" si="544"/>
        <v>2531.04</v>
      </c>
      <c r="CB197" s="110">
        <f t="shared" si="545"/>
        <v>178.01999999999998</v>
      </c>
    </row>
    <row r="198" spans="1:80" ht="18" x14ac:dyDescent="0.3">
      <c r="A198" s="18">
        <v>10</v>
      </c>
      <c r="B198" s="18" t="s">
        <v>323</v>
      </c>
      <c r="C198" s="19" t="s">
        <v>324</v>
      </c>
      <c r="D198" s="20" t="s">
        <v>325</v>
      </c>
      <c r="E198" s="21" t="s">
        <v>326</v>
      </c>
      <c r="F198" s="82">
        <v>935.22</v>
      </c>
      <c r="G198" s="82">
        <v>45.2</v>
      </c>
      <c r="H198" s="82">
        <v>935.22</v>
      </c>
      <c r="I198" s="22">
        <v>45.2</v>
      </c>
      <c r="J198" s="89">
        <v>932</v>
      </c>
      <c r="K198" s="89">
        <v>0</v>
      </c>
      <c r="L198" s="89">
        <v>0</v>
      </c>
      <c r="M198" s="89">
        <f t="shared" si="732"/>
        <v>932</v>
      </c>
      <c r="N198" s="89">
        <v>0</v>
      </c>
      <c r="O198" s="89">
        <v>0</v>
      </c>
      <c r="P198" s="89">
        <v>0</v>
      </c>
      <c r="Q198" s="89">
        <f t="shared" si="733"/>
        <v>0</v>
      </c>
      <c r="R198" s="89">
        <f t="shared" si="734"/>
        <v>932</v>
      </c>
      <c r="S198" s="89">
        <v>25</v>
      </c>
      <c r="V198" s="22">
        <f t="shared" si="729"/>
        <v>989.74</v>
      </c>
      <c r="W198" s="22">
        <f t="shared" si="730"/>
        <v>46.68</v>
      </c>
      <c r="X198" s="22">
        <f t="shared" si="709"/>
        <v>-57.740000000000009</v>
      </c>
      <c r="Y198" s="22">
        <f t="shared" si="710"/>
        <v>-21.68</v>
      </c>
      <c r="Z198" s="22">
        <v>932</v>
      </c>
      <c r="AA198" s="22"/>
      <c r="AB198" s="22">
        <f t="shared" si="711"/>
        <v>932</v>
      </c>
      <c r="AC198" s="111">
        <f t="shared" si="712"/>
        <v>0</v>
      </c>
      <c r="AD198" s="22">
        <f t="shared" si="735"/>
        <v>932</v>
      </c>
      <c r="AE198" s="22">
        <f>IF(Y198&gt;0,W198,S198)+11.15</f>
        <v>36.15</v>
      </c>
      <c r="AF198" s="22">
        <f t="shared" si="713"/>
        <v>22.56</v>
      </c>
      <c r="AG198" s="110">
        <f t="shared" si="714"/>
        <v>233</v>
      </c>
      <c r="AH198" s="110">
        <v>6</v>
      </c>
      <c r="AI198" s="129">
        <f t="shared" si="716"/>
        <v>78</v>
      </c>
      <c r="AJ198" s="110">
        <v>2</v>
      </c>
      <c r="AK198" s="146">
        <v>39.85</v>
      </c>
      <c r="AL198" s="146">
        <v>30.15</v>
      </c>
      <c r="AM198" s="110">
        <f t="shared" si="718"/>
        <v>233</v>
      </c>
      <c r="AN198" s="110">
        <f>ROUND(AE198*24.35%,2)-8.8</f>
        <v>0</v>
      </c>
      <c r="AQ198" s="110">
        <f t="shared" si="720"/>
        <v>505.85</v>
      </c>
      <c r="AR198" s="110">
        <f t="shared" si="721"/>
        <v>36.15</v>
      </c>
      <c r="AS198" s="118"/>
      <c r="AT198" s="118"/>
      <c r="AU198" s="118">
        <f t="shared" si="583"/>
        <v>233</v>
      </c>
      <c r="AV198" s="118">
        <f t="shared" si="690"/>
        <v>9.0399999999999991</v>
      </c>
      <c r="AW198" s="118"/>
      <c r="AX198" s="118"/>
      <c r="AY198" s="110">
        <f t="shared" si="699"/>
        <v>816.85</v>
      </c>
      <c r="AZ198" s="110">
        <f t="shared" si="700"/>
        <v>47.19</v>
      </c>
      <c r="BA198" s="110">
        <f t="shared" si="701"/>
        <v>864.04</v>
      </c>
      <c r="BB198" s="142">
        <v>732.17</v>
      </c>
      <c r="BC198" s="142">
        <v>56.84</v>
      </c>
      <c r="BD198" s="142">
        <f t="shared" si="702"/>
        <v>84.680000000000064</v>
      </c>
      <c r="BE198" s="142">
        <f t="shared" si="703"/>
        <v>-9.6500000000000057</v>
      </c>
      <c r="BF198" s="142">
        <f t="shared" si="704"/>
        <v>146.43</v>
      </c>
      <c r="BG198" s="142">
        <f t="shared" si="705"/>
        <v>11.37</v>
      </c>
      <c r="BH198" s="110">
        <v>30.88</v>
      </c>
      <c r="BI198" s="110">
        <v>1.6</v>
      </c>
      <c r="BL198" s="110">
        <f t="shared" si="736"/>
        <v>847.73</v>
      </c>
      <c r="BM198" s="110">
        <f t="shared" ref="BM198:BM261" si="737">+BI198+AZ198+BK198</f>
        <v>48.79</v>
      </c>
      <c r="BN198" s="110">
        <f t="shared" ref="BN198:BN261" si="738">BL198+BM198</f>
        <v>896.52</v>
      </c>
      <c r="BO198" s="110">
        <v>806.5</v>
      </c>
      <c r="BP198" s="129">
        <v>59.24</v>
      </c>
      <c r="BQ198" s="110">
        <f t="shared" ref="BQ198:BQ261" si="739">BL198-BO198</f>
        <v>41.230000000000018</v>
      </c>
      <c r="BR198" s="110">
        <f t="shared" ref="BR198:BR261" si="740">BM198-BP198</f>
        <v>-10.450000000000003</v>
      </c>
      <c r="BS198" s="110">
        <f t="shared" ref="BS198:BS261" si="741">ROUND(BO198/11,2)</f>
        <v>73.319999999999993</v>
      </c>
      <c r="BT198" s="110">
        <f t="shared" ref="BT198:BT261" si="742">ROUND(BP198/11,2)</f>
        <v>5.39</v>
      </c>
      <c r="BU198" s="146">
        <v>90</v>
      </c>
      <c r="BV198" s="146">
        <v>15</v>
      </c>
      <c r="BW198" s="146"/>
      <c r="BX198" s="146"/>
      <c r="BY198" s="146"/>
      <c r="BZ198" s="146"/>
      <c r="CA198" s="110">
        <f t="shared" ref="CA198:CA261" si="743">+BL198+BU198+BW198</f>
        <v>937.73</v>
      </c>
      <c r="CB198" s="110">
        <f t="shared" ref="CB198:CB261" si="744">+BM198+BV198+BX198</f>
        <v>63.79</v>
      </c>
    </row>
    <row r="199" spans="1:80" ht="18" x14ac:dyDescent="0.3">
      <c r="A199" s="13">
        <v>11</v>
      </c>
      <c r="B199" s="13"/>
      <c r="C199" s="14"/>
      <c r="D199" s="15" t="s">
        <v>327</v>
      </c>
      <c r="E199" s="16"/>
      <c r="F199" s="82">
        <v>1625.58</v>
      </c>
      <c r="G199" s="82">
        <v>63.18</v>
      </c>
      <c r="H199" s="82">
        <v>1625.58</v>
      </c>
      <c r="I199" s="17">
        <v>79.47</v>
      </c>
      <c r="J199" s="87">
        <v>1900</v>
      </c>
      <c r="K199" s="88">
        <v>0</v>
      </c>
      <c r="L199" s="88">
        <v>0</v>
      </c>
      <c r="M199" s="88">
        <f t="shared" ref="M199:M204" si="745">J199+K199+L199</f>
        <v>1900</v>
      </c>
      <c r="N199" s="88">
        <v>0</v>
      </c>
      <c r="O199" s="88">
        <v>0</v>
      </c>
      <c r="P199" s="88">
        <v>0</v>
      </c>
      <c r="Q199" s="88">
        <f t="shared" ref="Q199:Q204" si="746">N199+O199+P199</f>
        <v>0</v>
      </c>
      <c r="R199" s="88">
        <f t="shared" si="734"/>
        <v>1900</v>
      </c>
      <c r="S199" s="88">
        <v>60</v>
      </c>
      <c r="V199" s="17">
        <f t="shared" si="729"/>
        <v>1720.35</v>
      </c>
      <c r="W199" s="17">
        <f t="shared" si="730"/>
        <v>82.07</v>
      </c>
      <c r="X199" s="110">
        <f t="shared" si="709"/>
        <v>179.65000000000009</v>
      </c>
      <c r="Y199" s="110">
        <f t="shared" si="710"/>
        <v>-22.069999999999993</v>
      </c>
      <c r="Z199" s="110">
        <v>1720.35</v>
      </c>
      <c r="AA199" s="110"/>
      <c r="AB199" s="110">
        <f t="shared" si="711"/>
        <v>1720.35</v>
      </c>
      <c r="AC199" s="111">
        <f t="shared" si="712"/>
        <v>0</v>
      </c>
      <c r="AD199" s="110">
        <f t="shared" si="735"/>
        <v>1720.35</v>
      </c>
      <c r="AE199" s="110">
        <f>IF(Y199&gt;0,W199,S199)+73</f>
        <v>133</v>
      </c>
      <c r="AF199" s="110">
        <f t="shared" si="713"/>
        <v>54.13</v>
      </c>
      <c r="AG199" s="110">
        <f t="shared" si="714"/>
        <v>430</v>
      </c>
      <c r="AH199" s="110">
        <f>ROUND(AE199/4,0)-18</f>
        <v>15</v>
      </c>
      <c r="AI199" s="129">
        <f t="shared" si="716"/>
        <v>143</v>
      </c>
      <c r="AJ199" s="110">
        <f>ROUND(AE199/12,0)-6</f>
        <v>5</v>
      </c>
      <c r="AM199" s="110">
        <f t="shared" si="718"/>
        <v>430.09</v>
      </c>
      <c r="AN199" s="110">
        <f>ROUND(AE199*24.35%,2)-17.78</f>
        <v>14.61</v>
      </c>
      <c r="AQ199" s="110">
        <f t="shared" si="720"/>
        <v>860.08999999999992</v>
      </c>
      <c r="AR199" s="110">
        <f t="shared" si="721"/>
        <v>29.61</v>
      </c>
      <c r="AS199" s="118"/>
      <c r="AT199" s="118">
        <v>73</v>
      </c>
      <c r="AU199" s="118">
        <f t="shared" si="583"/>
        <v>430.09</v>
      </c>
      <c r="AV199" s="118">
        <v>25.39</v>
      </c>
      <c r="AW199" s="118"/>
      <c r="AX199" s="146">
        <v>9</v>
      </c>
      <c r="AY199" s="110">
        <f t="shared" si="699"/>
        <v>1433.1799999999998</v>
      </c>
      <c r="AZ199" s="110">
        <f t="shared" si="700"/>
        <v>142</v>
      </c>
      <c r="BA199" s="110">
        <f t="shared" si="701"/>
        <v>1575.1799999999998</v>
      </c>
      <c r="BB199" s="142">
        <v>1433.18</v>
      </c>
      <c r="BC199" s="142">
        <v>142</v>
      </c>
      <c r="BD199" s="142">
        <f t="shared" si="702"/>
        <v>0</v>
      </c>
      <c r="BE199" s="142">
        <f t="shared" si="703"/>
        <v>0</v>
      </c>
      <c r="BF199" s="142">
        <f t="shared" si="704"/>
        <v>286.64</v>
      </c>
      <c r="BG199" s="142">
        <f t="shared" si="705"/>
        <v>28.4</v>
      </c>
      <c r="BH199" s="110">
        <v>143.32</v>
      </c>
      <c r="BI199" s="110">
        <v>0</v>
      </c>
      <c r="BL199" s="110">
        <f t="shared" si="736"/>
        <v>1576.4999999999998</v>
      </c>
      <c r="BM199" s="110">
        <f t="shared" si="737"/>
        <v>142</v>
      </c>
      <c r="BN199" s="110">
        <f t="shared" si="738"/>
        <v>1718.4999999999998</v>
      </c>
      <c r="BO199" s="110">
        <v>1576.5</v>
      </c>
      <c r="BP199" s="129">
        <v>142</v>
      </c>
      <c r="BQ199" s="110">
        <f t="shared" si="739"/>
        <v>0</v>
      </c>
      <c r="BR199" s="110">
        <f t="shared" si="740"/>
        <v>0</v>
      </c>
      <c r="BS199" s="110">
        <f t="shared" si="741"/>
        <v>143.32</v>
      </c>
      <c r="BT199" s="110">
        <f t="shared" si="742"/>
        <v>12.91</v>
      </c>
      <c r="BU199" s="110">
        <f t="shared" ref="BU199:BU203" si="747">ROUND(BS199-BQ199,2)</f>
        <v>143.32</v>
      </c>
      <c r="BV199" s="110">
        <v>0</v>
      </c>
      <c r="BW199" s="110">
        <v>35.18</v>
      </c>
      <c r="BX199" s="110">
        <v>22</v>
      </c>
      <c r="CA199" s="110">
        <f t="shared" si="743"/>
        <v>1754.9999999999998</v>
      </c>
      <c r="CB199" s="110">
        <f t="shared" si="744"/>
        <v>164</v>
      </c>
    </row>
    <row r="200" spans="1:80" ht="18" x14ac:dyDescent="0.3">
      <c r="A200" s="13">
        <v>12</v>
      </c>
      <c r="B200" s="13"/>
      <c r="C200" s="14"/>
      <c r="D200" s="15" t="s">
        <v>328</v>
      </c>
      <c r="E200" s="16"/>
      <c r="F200" s="82">
        <v>572.42999999999984</v>
      </c>
      <c r="G200" s="82">
        <v>0</v>
      </c>
      <c r="H200" s="82">
        <v>572.42999999999984</v>
      </c>
      <c r="I200" s="17">
        <v>0</v>
      </c>
      <c r="J200" s="87">
        <v>852.63</v>
      </c>
      <c r="K200" s="88">
        <v>0</v>
      </c>
      <c r="L200" s="88">
        <v>0</v>
      </c>
      <c r="M200" s="88">
        <f t="shared" si="745"/>
        <v>852.63</v>
      </c>
      <c r="N200" s="88">
        <v>0</v>
      </c>
      <c r="O200" s="88">
        <v>0</v>
      </c>
      <c r="P200" s="88">
        <v>0</v>
      </c>
      <c r="Q200" s="88">
        <f t="shared" si="746"/>
        <v>0</v>
      </c>
      <c r="R200" s="88">
        <f t="shared" si="734"/>
        <v>852.63</v>
      </c>
      <c r="S200" s="88"/>
      <c r="V200" s="17">
        <f t="shared" ref="V200:V204" si="748">ROUND(H200*1.0583,2)</f>
        <v>605.79999999999995</v>
      </c>
      <c r="W200" s="17">
        <f t="shared" ref="W200:W204" si="749">ROUND(I200*1.0327,2)</f>
        <v>0</v>
      </c>
      <c r="X200" s="110">
        <f t="shared" si="709"/>
        <v>246.83000000000004</v>
      </c>
      <c r="Y200" s="110">
        <f t="shared" si="710"/>
        <v>0</v>
      </c>
      <c r="Z200" s="110">
        <v>605.79999999999995</v>
      </c>
      <c r="AA200" s="110"/>
      <c r="AB200" s="110">
        <f t="shared" si="711"/>
        <v>605.79999999999995</v>
      </c>
      <c r="AC200" s="111">
        <f t="shared" si="712"/>
        <v>0</v>
      </c>
      <c r="AD200" s="110">
        <f t="shared" ref="AD200:AD204" si="750">IF(X200&gt;0,V200,R200)</f>
        <v>605.79999999999995</v>
      </c>
      <c r="AE200" s="110">
        <f t="shared" ref="AE200:AE204" si="751">IF(Y200&gt;0,W200,S200)</f>
        <v>0</v>
      </c>
      <c r="AF200" s="110">
        <f t="shared" si="713"/>
        <v>0</v>
      </c>
      <c r="AG200" s="110">
        <f t="shared" si="714"/>
        <v>151</v>
      </c>
      <c r="AH200" s="110">
        <f t="shared" si="715"/>
        <v>0</v>
      </c>
      <c r="AI200" s="129">
        <f t="shared" si="716"/>
        <v>50</v>
      </c>
      <c r="AJ200" s="110">
        <f t="shared" si="717"/>
        <v>0</v>
      </c>
      <c r="AM200" s="110">
        <f t="shared" si="718"/>
        <v>151.44999999999999</v>
      </c>
      <c r="AN200" s="110">
        <f t="shared" si="719"/>
        <v>0</v>
      </c>
      <c r="AQ200" s="110">
        <f t="shared" si="720"/>
        <v>302.45</v>
      </c>
      <c r="AR200" s="110">
        <f t="shared" si="721"/>
        <v>0</v>
      </c>
      <c r="AS200" s="118"/>
      <c r="AT200" s="118"/>
      <c r="AU200" s="118">
        <f t="shared" si="583"/>
        <v>151.44999999999999</v>
      </c>
      <c r="AV200" s="118">
        <f t="shared" si="690"/>
        <v>0</v>
      </c>
      <c r="AW200" s="118"/>
      <c r="AX200" s="118"/>
      <c r="AY200" s="110">
        <f t="shared" si="699"/>
        <v>503.9</v>
      </c>
      <c r="AZ200" s="110">
        <f t="shared" si="700"/>
        <v>0</v>
      </c>
      <c r="BA200" s="110">
        <f t="shared" si="701"/>
        <v>503.9</v>
      </c>
      <c r="BB200" s="142">
        <v>503.9</v>
      </c>
      <c r="BD200" s="142">
        <f t="shared" si="702"/>
        <v>0</v>
      </c>
      <c r="BE200" s="142">
        <f t="shared" si="703"/>
        <v>0</v>
      </c>
      <c r="BF200" s="142">
        <f t="shared" si="704"/>
        <v>100.78</v>
      </c>
      <c r="BG200" s="142">
        <f t="shared" si="705"/>
        <v>0</v>
      </c>
      <c r="BH200" s="110">
        <v>50.39</v>
      </c>
      <c r="BI200" s="110">
        <v>0</v>
      </c>
      <c r="BL200" s="110">
        <f t="shared" si="736"/>
        <v>554.29</v>
      </c>
      <c r="BM200" s="110">
        <f t="shared" si="737"/>
        <v>0</v>
      </c>
      <c r="BN200" s="110">
        <f t="shared" si="738"/>
        <v>554.29</v>
      </c>
      <c r="BO200" s="110">
        <v>503.9</v>
      </c>
      <c r="BP200" s="129"/>
      <c r="BQ200" s="110">
        <f t="shared" si="739"/>
        <v>50.389999999999986</v>
      </c>
      <c r="BR200" s="110">
        <f t="shared" si="740"/>
        <v>0</v>
      </c>
      <c r="BS200" s="110">
        <f t="shared" si="741"/>
        <v>45.81</v>
      </c>
      <c r="BT200" s="110">
        <f t="shared" si="742"/>
        <v>0</v>
      </c>
      <c r="BU200" s="110">
        <f t="shared" si="747"/>
        <v>-4.58</v>
      </c>
      <c r="BV200" s="110">
        <v>0</v>
      </c>
      <c r="CA200" s="110">
        <f t="shared" si="743"/>
        <v>549.70999999999992</v>
      </c>
      <c r="CB200" s="110">
        <f t="shared" si="744"/>
        <v>0</v>
      </c>
    </row>
    <row r="201" spans="1:80" ht="18" x14ac:dyDescent="0.3">
      <c r="A201" s="13">
        <v>13</v>
      </c>
      <c r="B201" s="13"/>
      <c r="C201" s="14"/>
      <c r="D201" s="15" t="s">
        <v>329</v>
      </c>
      <c r="E201" s="16"/>
      <c r="F201" s="82">
        <v>177.71</v>
      </c>
      <c r="G201" s="82">
        <v>0</v>
      </c>
      <c r="H201" s="82">
        <v>177.71</v>
      </c>
      <c r="I201" s="17">
        <v>0</v>
      </c>
      <c r="J201" s="87">
        <v>222</v>
      </c>
      <c r="K201" s="88">
        <v>0</v>
      </c>
      <c r="L201" s="88">
        <v>0</v>
      </c>
      <c r="M201" s="88">
        <f t="shared" si="745"/>
        <v>222</v>
      </c>
      <c r="N201" s="88">
        <v>0</v>
      </c>
      <c r="O201" s="88">
        <v>0</v>
      </c>
      <c r="P201" s="88">
        <v>0</v>
      </c>
      <c r="Q201" s="88">
        <f t="shared" si="746"/>
        <v>0</v>
      </c>
      <c r="R201" s="88">
        <f t="shared" si="734"/>
        <v>222</v>
      </c>
      <c r="S201" s="88"/>
      <c r="V201" s="17">
        <f t="shared" si="748"/>
        <v>188.07</v>
      </c>
      <c r="W201" s="17">
        <f t="shared" si="749"/>
        <v>0</v>
      </c>
      <c r="X201" s="110">
        <f t="shared" si="709"/>
        <v>33.930000000000007</v>
      </c>
      <c r="Y201" s="110">
        <f t="shared" si="710"/>
        <v>0</v>
      </c>
      <c r="Z201" s="110">
        <v>188.07</v>
      </c>
      <c r="AA201" s="110"/>
      <c r="AB201" s="110">
        <f t="shared" si="711"/>
        <v>188.07</v>
      </c>
      <c r="AC201" s="111">
        <f t="shared" si="712"/>
        <v>0</v>
      </c>
      <c r="AD201" s="110">
        <f t="shared" si="750"/>
        <v>188.07</v>
      </c>
      <c r="AE201" s="110">
        <f t="shared" si="751"/>
        <v>0</v>
      </c>
      <c r="AF201" s="110">
        <f t="shared" si="713"/>
        <v>0</v>
      </c>
      <c r="AG201" s="110">
        <f t="shared" si="714"/>
        <v>47</v>
      </c>
      <c r="AH201" s="110">
        <f t="shared" si="715"/>
        <v>0</v>
      </c>
      <c r="AI201" s="129">
        <f t="shared" si="716"/>
        <v>16</v>
      </c>
      <c r="AJ201" s="110">
        <f t="shared" si="717"/>
        <v>0</v>
      </c>
      <c r="AM201" s="110">
        <f t="shared" si="718"/>
        <v>47.02</v>
      </c>
      <c r="AN201" s="110">
        <f t="shared" si="719"/>
        <v>0</v>
      </c>
      <c r="AQ201" s="110">
        <f t="shared" si="720"/>
        <v>94.02000000000001</v>
      </c>
      <c r="AR201" s="110">
        <f t="shared" si="721"/>
        <v>0</v>
      </c>
      <c r="AS201" s="118"/>
      <c r="AT201" s="118"/>
      <c r="AU201" s="118">
        <f t="shared" si="583"/>
        <v>47.02</v>
      </c>
      <c r="AV201" s="118">
        <f t="shared" si="690"/>
        <v>0</v>
      </c>
      <c r="AW201" s="118"/>
      <c r="AX201" s="118"/>
      <c r="AY201" s="110">
        <f t="shared" si="699"/>
        <v>157.04000000000002</v>
      </c>
      <c r="AZ201" s="110">
        <f t="shared" si="700"/>
        <v>0</v>
      </c>
      <c r="BA201" s="110">
        <f t="shared" si="701"/>
        <v>157.04000000000002</v>
      </c>
      <c r="BB201" s="142">
        <v>157</v>
      </c>
      <c r="BD201" s="142">
        <f t="shared" si="702"/>
        <v>4.0000000000020464E-2</v>
      </c>
      <c r="BE201" s="142">
        <f t="shared" si="703"/>
        <v>0</v>
      </c>
      <c r="BF201" s="142">
        <f t="shared" si="704"/>
        <v>31.4</v>
      </c>
      <c r="BG201" s="142">
        <f t="shared" si="705"/>
        <v>0</v>
      </c>
      <c r="BH201" s="110">
        <v>15.68</v>
      </c>
      <c r="BI201" s="110">
        <v>0</v>
      </c>
      <c r="BL201" s="110">
        <f t="shared" si="736"/>
        <v>172.72000000000003</v>
      </c>
      <c r="BM201" s="110">
        <f t="shared" si="737"/>
        <v>0</v>
      </c>
      <c r="BN201" s="110">
        <f t="shared" si="738"/>
        <v>172.72000000000003</v>
      </c>
      <c r="BO201" s="110">
        <v>157</v>
      </c>
      <c r="BP201" s="129"/>
      <c r="BQ201" s="110">
        <f t="shared" si="739"/>
        <v>15.720000000000027</v>
      </c>
      <c r="BR201" s="110">
        <f t="shared" si="740"/>
        <v>0</v>
      </c>
      <c r="BS201" s="110">
        <f t="shared" si="741"/>
        <v>14.27</v>
      </c>
      <c r="BT201" s="110">
        <f t="shared" si="742"/>
        <v>0</v>
      </c>
      <c r="BU201" s="110">
        <f t="shared" si="747"/>
        <v>-1.45</v>
      </c>
      <c r="BV201" s="110">
        <v>0</v>
      </c>
      <c r="BW201" s="110">
        <v>1.41</v>
      </c>
      <c r="CA201" s="110">
        <f t="shared" si="743"/>
        <v>172.68000000000004</v>
      </c>
      <c r="CB201" s="110">
        <f t="shared" si="744"/>
        <v>0</v>
      </c>
    </row>
    <row r="202" spans="1:80" ht="18" x14ac:dyDescent="0.3">
      <c r="A202" s="13">
        <v>14</v>
      </c>
      <c r="B202" s="13"/>
      <c r="C202" s="14"/>
      <c r="D202" s="15" t="s">
        <v>330</v>
      </c>
      <c r="E202" s="16"/>
      <c r="F202" s="82">
        <v>593.29000000000008</v>
      </c>
      <c r="G202" s="82">
        <v>0</v>
      </c>
      <c r="H202" s="82">
        <v>593.29000000000008</v>
      </c>
      <c r="I202" s="17">
        <v>0</v>
      </c>
      <c r="J202" s="87">
        <v>831.31</v>
      </c>
      <c r="K202" s="88">
        <v>0</v>
      </c>
      <c r="L202" s="88">
        <v>0</v>
      </c>
      <c r="M202" s="88">
        <f t="shared" si="745"/>
        <v>831.31</v>
      </c>
      <c r="N202" s="88">
        <v>0</v>
      </c>
      <c r="O202" s="88">
        <v>0</v>
      </c>
      <c r="P202" s="88">
        <v>0</v>
      </c>
      <c r="Q202" s="88">
        <f t="shared" si="746"/>
        <v>0</v>
      </c>
      <c r="R202" s="88">
        <f t="shared" si="734"/>
        <v>831.31</v>
      </c>
      <c r="S202" s="88"/>
      <c r="V202" s="17">
        <f t="shared" si="748"/>
        <v>627.88</v>
      </c>
      <c r="W202" s="17">
        <f t="shared" si="749"/>
        <v>0</v>
      </c>
      <c r="X202" s="110">
        <f t="shared" si="709"/>
        <v>203.42999999999995</v>
      </c>
      <c r="Y202" s="110">
        <f t="shared" si="710"/>
        <v>0</v>
      </c>
      <c r="Z202" s="110">
        <v>627.88</v>
      </c>
      <c r="AA202" s="110"/>
      <c r="AB202" s="110">
        <f t="shared" si="711"/>
        <v>627.88</v>
      </c>
      <c r="AC202" s="111">
        <f t="shared" si="712"/>
        <v>0</v>
      </c>
      <c r="AD202" s="110">
        <f t="shared" si="750"/>
        <v>627.88</v>
      </c>
      <c r="AE202" s="110">
        <f t="shared" si="751"/>
        <v>0</v>
      </c>
      <c r="AF202" s="110">
        <f t="shared" si="713"/>
        <v>0</v>
      </c>
      <c r="AG202" s="110">
        <f t="shared" si="714"/>
        <v>157</v>
      </c>
      <c r="AH202" s="110">
        <f t="shared" si="715"/>
        <v>0</v>
      </c>
      <c r="AI202" s="129">
        <f t="shared" si="716"/>
        <v>52</v>
      </c>
      <c r="AJ202" s="110">
        <f t="shared" si="717"/>
        <v>0</v>
      </c>
      <c r="AM202" s="110">
        <f t="shared" si="718"/>
        <v>156.97</v>
      </c>
      <c r="AN202" s="110">
        <f t="shared" si="719"/>
        <v>0</v>
      </c>
      <c r="AQ202" s="110">
        <f t="shared" si="720"/>
        <v>313.97000000000003</v>
      </c>
      <c r="AR202" s="110">
        <f t="shared" si="721"/>
        <v>0</v>
      </c>
      <c r="AU202" s="110">
        <f t="shared" si="583"/>
        <v>156.97</v>
      </c>
      <c r="AV202" s="110">
        <f t="shared" si="690"/>
        <v>0</v>
      </c>
      <c r="AY202" s="110">
        <f t="shared" si="699"/>
        <v>522.94000000000005</v>
      </c>
      <c r="AZ202" s="110">
        <f t="shared" si="700"/>
        <v>0</v>
      </c>
      <c r="BA202" s="110">
        <f t="shared" si="701"/>
        <v>522.94000000000005</v>
      </c>
      <c r="BB202" s="142">
        <v>522.94000000000005</v>
      </c>
      <c r="BD202" s="142">
        <f t="shared" si="702"/>
        <v>0</v>
      </c>
      <c r="BE202" s="142">
        <f t="shared" si="703"/>
        <v>0</v>
      </c>
      <c r="BF202" s="142">
        <f t="shared" si="704"/>
        <v>104.59</v>
      </c>
      <c r="BG202" s="142">
        <f t="shared" si="705"/>
        <v>0</v>
      </c>
      <c r="BH202" s="110">
        <v>52.3</v>
      </c>
      <c r="BI202" s="110">
        <v>0</v>
      </c>
      <c r="BL202" s="110">
        <f t="shared" si="736"/>
        <v>575.24</v>
      </c>
      <c r="BM202" s="110">
        <f t="shared" si="737"/>
        <v>0</v>
      </c>
      <c r="BN202" s="110">
        <f t="shared" si="738"/>
        <v>575.24</v>
      </c>
      <c r="BO202" s="110">
        <v>522.94000000000005</v>
      </c>
      <c r="BP202" s="129"/>
      <c r="BQ202" s="110">
        <f t="shared" si="739"/>
        <v>52.299999999999955</v>
      </c>
      <c r="BR202" s="110">
        <f t="shared" si="740"/>
        <v>0</v>
      </c>
      <c r="BS202" s="110">
        <f t="shared" si="741"/>
        <v>47.54</v>
      </c>
      <c r="BT202" s="110">
        <f t="shared" si="742"/>
        <v>0</v>
      </c>
      <c r="BU202" s="110">
        <f t="shared" si="747"/>
        <v>-4.76</v>
      </c>
      <c r="BV202" s="110">
        <v>0</v>
      </c>
      <c r="BW202" s="111">
        <v>228</v>
      </c>
      <c r="CA202" s="110">
        <f t="shared" si="743"/>
        <v>798.48</v>
      </c>
      <c r="CB202" s="110">
        <f t="shared" si="744"/>
        <v>0</v>
      </c>
    </row>
    <row r="203" spans="1:80" ht="18" x14ac:dyDescent="0.3">
      <c r="A203" s="13">
        <v>15</v>
      </c>
      <c r="B203" s="13"/>
      <c r="C203" s="14"/>
      <c r="D203" s="15" t="s">
        <v>331</v>
      </c>
      <c r="E203" s="16"/>
      <c r="F203" s="82">
        <v>393.44</v>
      </c>
      <c r="G203" s="82">
        <v>0</v>
      </c>
      <c r="H203" s="82">
        <v>393.44</v>
      </c>
      <c r="I203" s="17">
        <v>0</v>
      </c>
      <c r="J203" s="87">
        <v>686.25</v>
      </c>
      <c r="K203" s="88">
        <v>0</v>
      </c>
      <c r="L203" s="88">
        <v>0</v>
      </c>
      <c r="M203" s="88">
        <f t="shared" si="745"/>
        <v>686.25</v>
      </c>
      <c r="N203" s="88">
        <v>0</v>
      </c>
      <c r="O203" s="88">
        <v>0</v>
      </c>
      <c r="P203" s="88">
        <v>0</v>
      </c>
      <c r="Q203" s="88">
        <f t="shared" si="746"/>
        <v>0</v>
      </c>
      <c r="R203" s="88">
        <f t="shared" si="734"/>
        <v>686.25</v>
      </c>
      <c r="S203" s="88"/>
      <c r="V203" s="17">
        <f t="shared" si="748"/>
        <v>416.38</v>
      </c>
      <c r="W203" s="17">
        <f t="shared" si="749"/>
        <v>0</v>
      </c>
      <c r="X203" s="110">
        <f t="shared" si="709"/>
        <v>269.87</v>
      </c>
      <c r="Y203" s="110">
        <f t="shared" si="710"/>
        <v>0</v>
      </c>
      <c r="Z203" s="110">
        <v>416.38</v>
      </c>
      <c r="AA203" s="110"/>
      <c r="AB203" s="110">
        <f t="shared" si="711"/>
        <v>416.38</v>
      </c>
      <c r="AC203" s="111">
        <f t="shared" si="712"/>
        <v>0</v>
      </c>
      <c r="AD203" s="110">
        <f t="shared" si="750"/>
        <v>416.38</v>
      </c>
      <c r="AE203" s="110">
        <f t="shared" si="751"/>
        <v>0</v>
      </c>
      <c r="AF203" s="110">
        <f t="shared" si="713"/>
        <v>0</v>
      </c>
      <c r="AG203" s="110">
        <f t="shared" si="714"/>
        <v>104</v>
      </c>
      <c r="AH203" s="110">
        <f t="shared" si="715"/>
        <v>0</v>
      </c>
      <c r="AI203" s="129">
        <f t="shared" si="716"/>
        <v>35</v>
      </c>
      <c r="AJ203" s="110">
        <f t="shared" si="717"/>
        <v>0</v>
      </c>
      <c r="AM203" s="110">
        <f t="shared" si="718"/>
        <v>104.1</v>
      </c>
      <c r="AN203" s="110">
        <f t="shared" si="719"/>
        <v>0</v>
      </c>
      <c r="AQ203" s="110">
        <f t="shared" si="720"/>
        <v>208.1</v>
      </c>
      <c r="AR203" s="110">
        <f t="shared" si="721"/>
        <v>0</v>
      </c>
      <c r="AU203" s="110">
        <f t="shared" si="583"/>
        <v>104.1</v>
      </c>
      <c r="AV203" s="110">
        <f t="shared" si="690"/>
        <v>0</v>
      </c>
      <c r="AY203" s="110">
        <f t="shared" si="699"/>
        <v>347.2</v>
      </c>
      <c r="AZ203" s="110">
        <f t="shared" si="700"/>
        <v>0</v>
      </c>
      <c r="BA203" s="110">
        <f t="shared" si="701"/>
        <v>347.2</v>
      </c>
      <c r="BB203" s="142">
        <v>347.2</v>
      </c>
      <c r="BD203" s="142">
        <f t="shared" si="702"/>
        <v>0</v>
      </c>
      <c r="BE203" s="142">
        <f t="shared" si="703"/>
        <v>0</v>
      </c>
      <c r="BF203" s="142">
        <f t="shared" si="704"/>
        <v>69.44</v>
      </c>
      <c r="BG203" s="142">
        <f t="shared" si="705"/>
        <v>0</v>
      </c>
      <c r="BH203" s="110">
        <v>34.72</v>
      </c>
      <c r="BI203" s="110">
        <v>0</v>
      </c>
      <c r="BL203" s="110">
        <f t="shared" si="736"/>
        <v>381.91999999999996</v>
      </c>
      <c r="BM203" s="110">
        <f t="shared" si="737"/>
        <v>0</v>
      </c>
      <c r="BN203" s="110">
        <f t="shared" si="738"/>
        <v>381.91999999999996</v>
      </c>
      <c r="BO203" s="110">
        <v>347.2</v>
      </c>
      <c r="BP203" s="129"/>
      <c r="BQ203" s="110">
        <f t="shared" si="739"/>
        <v>34.71999999999997</v>
      </c>
      <c r="BR203" s="110">
        <f t="shared" si="740"/>
        <v>0</v>
      </c>
      <c r="BS203" s="110">
        <f t="shared" si="741"/>
        <v>31.56</v>
      </c>
      <c r="BT203" s="110">
        <f t="shared" si="742"/>
        <v>0</v>
      </c>
      <c r="BU203" s="110">
        <f t="shared" si="747"/>
        <v>-3.16</v>
      </c>
      <c r="BV203" s="110">
        <v>0</v>
      </c>
      <c r="BW203" s="111">
        <v>60.72</v>
      </c>
      <c r="CA203" s="110">
        <f t="shared" si="743"/>
        <v>439.4799999999999</v>
      </c>
      <c r="CB203" s="110">
        <f t="shared" si="744"/>
        <v>0</v>
      </c>
    </row>
    <row r="204" spans="1:80" ht="18" x14ac:dyDescent="0.3">
      <c r="A204" s="13">
        <v>16</v>
      </c>
      <c r="B204" s="13"/>
      <c r="C204" s="14"/>
      <c r="D204" s="15" t="s">
        <v>332</v>
      </c>
      <c r="E204" s="16"/>
      <c r="F204" s="82">
        <v>0</v>
      </c>
      <c r="G204" s="82">
        <v>0</v>
      </c>
      <c r="H204" s="82">
        <v>0</v>
      </c>
      <c r="I204" s="17">
        <v>0</v>
      </c>
      <c r="J204" s="87">
        <v>0</v>
      </c>
      <c r="K204" s="88">
        <v>0</v>
      </c>
      <c r="L204" s="88">
        <v>0</v>
      </c>
      <c r="M204" s="88">
        <f t="shared" si="745"/>
        <v>0</v>
      </c>
      <c r="N204" s="88">
        <v>0</v>
      </c>
      <c r="O204" s="88">
        <v>0</v>
      </c>
      <c r="P204" s="88">
        <v>0</v>
      </c>
      <c r="Q204" s="88">
        <f t="shared" si="746"/>
        <v>0</v>
      </c>
      <c r="R204" s="88">
        <f t="shared" si="734"/>
        <v>0</v>
      </c>
      <c r="S204" s="88"/>
      <c r="V204" s="17">
        <f t="shared" si="748"/>
        <v>0</v>
      </c>
      <c r="W204" s="17">
        <f t="shared" si="749"/>
        <v>0</v>
      </c>
      <c r="X204" s="110">
        <f t="shared" si="709"/>
        <v>0</v>
      </c>
      <c r="Y204" s="110">
        <f t="shared" si="710"/>
        <v>0</v>
      </c>
      <c r="Z204" s="110"/>
      <c r="AA204" s="110"/>
      <c r="AB204" s="110">
        <f t="shared" si="711"/>
        <v>0</v>
      </c>
      <c r="AC204" s="111">
        <f t="shared" si="712"/>
        <v>0</v>
      </c>
      <c r="AD204" s="110">
        <f t="shared" si="750"/>
        <v>0</v>
      </c>
      <c r="AE204" s="110">
        <f t="shared" si="751"/>
        <v>0</v>
      </c>
      <c r="AF204" s="110">
        <f t="shared" si="713"/>
        <v>0</v>
      </c>
      <c r="AG204" s="110">
        <f t="shared" si="714"/>
        <v>0</v>
      </c>
      <c r="AH204" s="110">
        <f t="shared" si="715"/>
        <v>0</v>
      </c>
      <c r="AI204" s="129">
        <f t="shared" si="716"/>
        <v>0</v>
      </c>
      <c r="AJ204" s="110">
        <f t="shared" si="717"/>
        <v>0</v>
      </c>
      <c r="AM204" s="110">
        <f t="shared" si="718"/>
        <v>0</v>
      </c>
      <c r="AN204" s="110">
        <f t="shared" si="719"/>
        <v>0</v>
      </c>
      <c r="AQ204" s="110">
        <f t="shared" si="720"/>
        <v>0</v>
      </c>
      <c r="AR204" s="110">
        <f t="shared" si="721"/>
        <v>0</v>
      </c>
      <c r="AU204" s="110">
        <f t="shared" si="583"/>
        <v>0</v>
      </c>
      <c r="AV204" s="110">
        <f t="shared" si="690"/>
        <v>0</v>
      </c>
      <c r="AY204" s="110">
        <f t="shared" si="699"/>
        <v>0</v>
      </c>
      <c r="AZ204" s="110">
        <f t="shared" si="700"/>
        <v>0</v>
      </c>
      <c r="BA204" s="110">
        <f t="shared" si="701"/>
        <v>0</v>
      </c>
      <c r="BB204" s="142">
        <v>0</v>
      </c>
      <c r="BD204" s="142">
        <f t="shared" si="702"/>
        <v>0</v>
      </c>
      <c r="BE204" s="142">
        <f t="shared" si="703"/>
        <v>0</v>
      </c>
      <c r="BF204" s="142">
        <f t="shared" si="704"/>
        <v>0</v>
      </c>
      <c r="BG204" s="142">
        <f t="shared" si="705"/>
        <v>0</v>
      </c>
      <c r="BH204" s="110">
        <v>0</v>
      </c>
      <c r="BI204" s="110">
        <v>0</v>
      </c>
      <c r="BL204" s="110">
        <f t="shared" si="736"/>
        <v>0</v>
      </c>
      <c r="BM204" s="110">
        <f t="shared" si="737"/>
        <v>0</v>
      </c>
      <c r="BN204" s="110">
        <f t="shared" si="738"/>
        <v>0</v>
      </c>
      <c r="BO204" s="110">
        <v>0</v>
      </c>
      <c r="BP204" s="129"/>
      <c r="BQ204" s="110">
        <f t="shared" si="739"/>
        <v>0</v>
      </c>
      <c r="BR204" s="110">
        <f t="shared" si="740"/>
        <v>0</v>
      </c>
      <c r="BS204" s="110">
        <f t="shared" si="741"/>
        <v>0</v>
      </c>
      <c r="BT204" s="110">
        <f t="shared" si="742"/>
        <v>0</v>
      </c>
      <c r="BU204" s="110">
        <f>ROUND(BS204-BQ204,2)</f>
        <v>0</v>
      </c>
      <c r="BV204" s="110">
        <v>0</v>
      </c>
      <c r="CA204" s="110">
        <f t="shared" si="743"/>
        <v>0</v>
      </c>
      <c r="CB204" s="110">
        <f t="shared" si="744"/>
        <v>0</v>
      </c>
    </row>
    <row r="205" spans="1:80" ht="18" x14ac:dyDescent="0.3">
      <c r="A205" s="18"/>
      <c r="B205" s="18" t="s">
        <v>333</v>
      </c>
      <c r="C205" s="19" t="s">
        <v>94</v>
      </c>
      <c r="D205" s="20" t="s">
        <v>327</v>
      </c>
      <c r="E205" s="21" t="s">
        <v>334</v>
      </c>
      <c r="F205" s="22">
        <v>3362.45</v>
      </c>
      <c r="G205" s="22">
        <v>63.18</v>
      </c>
      <c r="H205" s="22">
        <v>3362.45</v>
      </c>
      <c r="I205" s="22">
        <v>79.47</v>
      </c>
      <c r="J205" s="89">
        <f t="shared" ref="J205:AA205" si="752">+J199+J200+J201+J202+J203+J204</f>
        <v>4492.1900000000005</v>
      </c>
      <c r="K205" s="89">
        <f t="shared" si="752"/>
        <v>0</v>
      </c>
      <c r="L205" s="89">
        <f t="shared" si="752"/>
        <v>0</v>
      </c>
      <c r="M205" s="89">
        <f t="shared" si="752"/>
        <v>4492.1900000000005</v>
      </c>
      <c r="N205" s="89">
        <f t="shared" si="752"/>
        <v>0</v>
      </c>
      <c r="O205" s="89">
        <f t="shared" si="752"/>
        <v>0</v>
      </c>
      <c r="P205" s="89">
        <f t="shared" si="752"/>
        <v>0</v>
      </c>
      <c r="Q205" s="89">
        <f t="shared" si="752"/>
        <v>0</v>
      </c>
      <c r="R205" s="89">
        <f t="shared" si="752"/>
        <v>4492.1900000000005</v>
      </c>
      <c r="S205" s="89">
        <f t="shared" si="752"/>
        <v>60</v>
      </c>
      <c r="T205" s="89">
        <f t="shared" si="752"/>
        <v>0</v>
      </c>
      <c r="U205" s="89">
        <f t="shared" si="752"/>
        <v>0</v>
      </c>
      <c r="V205" s="89">
        <f t="shared" si="752"/>
        <v>3558.48</v>
      </c>
      <c r="W205" s="89">
        <f t="shared" si="752"/>
        <v>82.07</v>
      </c>
      <c r="X205" s="89">
        <f t="shared" si="752"/>
        <v>933.71000000000015</v>
      </c>
      <c r="Y205" s="89">
        <f t="shared" si="752"/>
        <v>-22.069999999999993</v>
      </c>
      <c r="Z205" s="89">
        <f t="shared" si="752"/>
        <v>3558.48</v>
      </c>
      <c r="AA205" s="89">
        <f t="shared" si="752"/>
        <v>0</v>
      </c>
      <c r="AB205" s="22">
        <f t="shared" si="711"/>
        <v>3558.48</v>
      </c>
      <c r="AC205" s="111">
        <f t="shared" si="712"/>
        <v>0</v>
      </c>
      <c r="AD205" s="22">
        <f t="shared" ref="AD205:CB205" si="753">+AD199+AD200+AD201+AD202+AD203+AD204</f>
        <v>3558.48</v>
      </c>
      <c r="AE205" s="22">
        <f t="shared" si="753"/>
        <v>133</v>
      </c>
      <c r="AF205" s="22">
        <f t="shared" si="753"/>
        <v>54.13</v>
      </c>
      <c r="AG205" s="22">
        <f t="shared" si="753"/>
        <v>889</v>
      </c>
      <c r="AH205" s="22">
        <f t="shared" si="753"/>
        <v>15</v>
      </c>
      <c r="AI205" s="120">
        <f t="shared" si="753"/>
        <v>296</v>
      </c>
      <c r="AJ205" s="22">
        <f t="shared" si="753"/>
        <v>5</v>
      </c>
      <c r="AK205" s="22">
        <f t="shared" si="753"/>
        <v>0</v>
      </c>
      <c r="AL205" s="22">
        <f t="shared" si="753"/>
        <v>0</v>
      </c>
      <c r="AM205" s="22">
        <f t="shared" si="753"/>
        <v>889.63</v>
      </c>
      <c r="AN205" s="22">
        <f t="shared" si="753"/>
        <v>14.61</v>
      </c>
      <c r="AO205" s="22">
        <f t="shared" si="753"/>
        <v>0</v>
      </c>
      <c r="AP205" s="22">
        <f t="shared" si="753"/>
        <v>0</v>
      </c>
      <c r="AQ205" s="22">
        <f t="shared" si="753"/>
        <v>1778.6299999999999</v>
      </c>
      <c r="AR205" s="22">
        <f t="shared" si="753"/>
        <v>29.61</v>
      </c>
      <c r="AS205" s="22">
        <f t="shared" si="753"/>
        <v>0</v>
      </c>
      <c r="AT205" s="22">
        <f t="shared" si="753"/>
        <v>73</v>
      </c>
      <c r="AU205" s="22">
        <f t="shared" si="753"/>
        <v>889.63</v>
      </c>
      <c r="AV205" s="22">
        <f t="shared" si="753"/>
        <v>25.39</v>
      </c>
      <c r="AW205" s="22">
        <f t="shared" si="753"/>
        <v>0</v>
      </c>
      <c r="AX205" s="22">
        <f t="shared" si="753"/>
        <v>9</v>
      </c>
      <c r="AY205" s="22">
        <f t="shared" si="753"/>
        <v>2964.2599999999998</v>
      </c>
      <c r="AZ205" s="22">
        <f t="shared" si="753"/>
        <v>142</v>
      </c>
      <c r="BA205" s="22">
        <f t="shared" si="753"/>
        <v>3106.2599999999998</v>
      </c>
      <c r="BB205" s="22">
        <f t="shared" si="753"/>
        <v>2964.22</v>
      </c>
      <c r="BC205" s="22">
        <f t="shared" si="753"/>
        <v>142</v>
      </c>
      <c r="BD205" s="22">
        <f t="shared" si="753"/>
        <v>4.0000000000020464E-2</v>
      </c>
      <c r="BE205" s="22">
        <f t="shared" si="753"/>
        <v>0</v>
      </c>
      <c r="BF205" s="22">
        <f t="shared" si="753"/>
        <v>592.84999999999991</v>
      </c>
      <c r="BG205" s="120">
        <f t="shared" si="753"/>
        <v>28.4</v>
      </c>
      <c r="BH205" s="120">
        <f t="shared" si="753"/>
        <v>296.40999999999997</v>
      </c>
      <c r="BI205" s="120">
        <f t="shared" si="753"/>
        <v>0</v>
      </c>
      <c r="BJ205" s="120">
        <f t="shared" si="753"/>
        <v>0</v>
      </c>
      <c r="BK205" s="120">
        <f t="shared" si="753"/>
        <v>0</v>
      </c>
      <c r="BL205" s="120">
        <f t="shared" si="753"/>
        <v>3260.67</v>
      </c>
      <c r="BM205" s="120">
        <f t="shared" si="753"/>
        <v>142</v>
      </c>
      <c r="BN205" s="120">
        <f t="shared" si="753"/>
        <v>3402.67</v>
      </c>
      <c r="BO205" s="120">
        <f t="shared" si="753"/>
        <v>3107.54</v>
      </c>
      <c r="BP205" s="120">
        <f t="shared" si="753"/>
        <v>142</v>
      </c>
      <c r="BQ205" s="22">
        <f t="shared" si="753"/>
        <v>153.12999999999994</v>
      </c>
      <c r="BR205" s="22">
        <f t="shared" si="753"/>
        <v>0</v>
      </c>
      <c r="BS205" s="22">
        <f t="shared" si="753"/>
        <v>282.5</v>
      </c>
      <c r="BT205" s="22">
        <f t="shared" si="753"/>
        <v>12.91</v>
      </c>
      <c r="BU205" s="22">
        <f t="shared" si="753"/>
        <v>129.37</v>
      </c>
      <c r="BV205" s="22">
        <f t="shared" si="753"/>
        <v>0</v>
      </c>
      <c r="BW205" s="22">
        <f t="shared" si="753"/>
        <v>325.30999999999995</v>
      </c>
      <c r="BX205" s="22">
        <f t="shared" si="753"/>
        <v>22</v>
      </c>
      <c r="BY205" s="22">
        <f t="shared" si="753"/>
        <v>0</v>
      </c>
      <c r="BZ205" s="22">
        <f t="shared" si="753"/>
        <v>0</v>
      </c>
      <c r="CA205" s="22">
        <f t="shared" si="753"/>
        <v>3715.3499999999995</v>
      </c>
      <c r="CB205" s="22">
        <f t="shared" si="753"/>
        <v>164</v>
      </c>
    </row>
    <row r="206" spans="1:80" ht="18" x14ac:dyDescent="0.3">
      <c r="A206" s="18">
        <v>17</v>
      </c>
      <c r="B206" s="18" t="s">
        <v>335</v>
      </c>
      <c r="C206" s="19" t="s">
        <v>13</v>
      </c>
      <c r="D206" s="20" t="s">
        <v>336</v>
      </c>
      <c r="E206" s="21" t="s">
        <v>337</v>
      </c>
      <c r="F206" s="82">
        <v>3382.32</v>
      </c>
      <c r="G206" s="82">
        <v>3397.25</v>
      </c>
      <c r="H206" s="82">
        <v>3382.32</v>
      </c>
      <c r="I206" s="22">
        <v>3497.25</v>
      </c>
      <c r="J206" s="89">
        <v>4200</v>
      </c>
      <c r="K206" s="89">
        <v>0</v>
      </c>
      <c r="L206" s="89">
        <v>0</v>
      </c>
      <c r="M206" s="89">
        <f t="shared" ref="M206" si="754">+L206+K206+J206</f>
        <v>4200</v>
      </c>
      <c r="N206" s="89">
        <v>0</v>
      </c>
      <c r="O206" s="89">
        <v>0</v>
      </c>
      <c r="P206" s="89">
        <v>0</v>
      </c>
      <c r="Q206" s="89">
        <f t="shared" ref="Q206" si="755">+P206+O206+N206</f>
        <v>0</v>
      </c>
      <c r="R206" s="89">
        <f t="shared" si="734"/>
        <v>4200</v>
      </c>
      <c r="S206" s="89">
        <v>4700</v>
      </c>
      <c r="V206" s="22">
        <f t="shared" ref="V206" si="756">ROUND(H206*1.0583,2)</f>
        <v>3579.51</v>
      </c>
      <c r="W206" s="22">
        <f t="shared" ref="W206" si="757">ROUND(I206*1.0327,2)</f>
        <v>3611.61</v>
      </c>
      <c r="X206" s="22">
        <f t="shared" si="709"/>
        <v>620.48999999999978</v>
      </c>
      <c r="Y206" s="22">
        <f t="shared" si="710"/>
        <v>1088.3899999999999</v>
      </c>
      <c r="Z206" s="22">
        <v>3579.51</v>
      </c>
      <c r="AA206" s="22"/>
      <c r="AB206" s="22">
        <f t="shared" si="711"/>
        <v>3579.51</v>
      </c>
      <c r="AC206" s="111">
        <f t="shared" si="712"/>
        <v>0</v>
      </c>
      <c r="AD206" s="22">
        <f t="shared" ref="AD206:AD207" si="758">IF(X206&gt;0,V206,R206)</f>
        <v>3579.51</v>
      </c>
      <c r="AE206" s="22">
        <f t="shared" ref="AE206" si="759">IF(Y206&gt;0,W206,S206)</f>
        <v>3611.61</v>
      </c>
      <c r="AF206" s="22">
        <f t="shared" si="713"/>
        <v>4240.34</v>
      </c>
      <c r="AG206" s="110">
        <f t="shared" si="714"/>
        <v>895</v>
      </c>
      <c r="AH206" s="110">
        <f t="shared" si="715"/>
        <v>903</v>
      </c>
      <c r="AI206" s="129">
        <f t="shared" si="716"/>
        <v>298</v>
      </c>
      <c r="AJ206" s="110">
        <f t="shared" si="717"/>
        <v>301</v>
      </c>
      <c r="AM206" s="110">
        <f t="shared" si="718"/>
        <v>894.88</v>
      </c>
      <c r="AN206" s="110">
        <f t="shared" si="719"/>
        <v>879.43</v>
      </c>
      <c r="AQ206" s="110">
        <f t="shared" si="720"/>
        <v>1789.88</v>
      </c>
      <c r="AR206" s="110">
        <f t="shared" si="721"/>
        <v>1782.4299999999998</v>
      </c>
      <c r="AU206" s="110">
        <f t="shared" si="583"/>
        <v>894.88</v>
      </c>
      <c r="AV206" s="110">
        <f>ROUND(AE206*25%,2)</f>
        <v>902.9</v>
      </c>
      <c r="AX206" s="146">
        <v>646.70000000000005</v>
      </c>
      <c r="AY206" s="110">
        <f t="shared" si="699"/>
        <v>2982.76</v>
      </c>
      <c r="AZ206" s="110">
        <f t="shared" si="700"/>
        <v>3633.0299999999997</v>
      </c>
      <c r="BA206" s="110">
        <f t="shared" si="701"/>
        <v>6615.79</v>
      </c>
      <c r="BB206" s="142">
        <v>2812.07</v>
      </c>
      <c r="BC206" s="142">
        <v>3596.84</v>
      </c>
      <c r="BD206" s="142">
        <f t="shared" si="702"/>
        <v>170.69000000000005</v>
      </c>
      <c r="BE206" s="142">
        <f t="shared" si="703"/>
        <v>36.1899999999996</v>
      </c>
      <c r="BF206" s="142">
        <f t="shared" si="704"/>
        <v>562.41</v>
      </c>
      <c r="BG206" s="142">
        <f t="shared" si="705"/>
        <v>719.37</v>
      </c>
      <c r="BH206" s="110">
        <v>195.86</v>
      </c>
      <c r="BI206" s="111">
        <v>315.08999999999997</v>
      </c>
      <c r="BJ206" s="111"/>
      <c r="BK206" s="111"/>
      <c r="BL206" s="110">
        <f t="shared" si="736"/>
        <v>3178.6200000000003</v>
      </c>
      <c r="BM206" s="110">
        <f t="shared" si="737"/>
        <v>3948.12</v>
      </c>
      <c r="BN206" s="110">
        <f t="shared" si="738"/>
        <v>7126.74</v>
      </c>
      <c r="BO206" s="110">
        <v>3128.79</v>
      </c>
      <c r="BP206" s="129">
        <v>3972.03</v>
      </c>
      <c r="BQ206" s="110">
        <f t="shared" si="739"/>
        <v>49.830000000000382</v>
      </c>
      <c r="BR206" s="110">
        <f t="shared" si="740"/>
        <v>-23.910000000000309</v>
      </c>
      <c r="BS206" s="110">
        <f t="shared" si="741"/>
        <v>284.44</v>
      </c>
      <c r="BT206" s="110">
        <f t="shared" si="742"/>
        <v>361.09</v>
      </c>
      <c r="BU206" s="110">
        <f t="shared" ref="BU206:BU259" si="760">BS206-BQ206</f>
        <v>234.60999999999962</v>
      </c>
      <c r="BV206" s="118">
        <v>185</v>
      </c>
      <c r="BW206" s="118"/>
      <c r="BX206" s="118"/>
      <c r="BY206" s="118"/>
      <c r="BZ206" s="118"/>
      <c r="CA206" s="110">
        <f t="shared" si="743"/>
        <v>3413.23</v>
      </c>
      <c r="CB206" s="110">
        <f t="shared" si="744"/>
        <v>4133.12</v>
      </c>
    </row>
    <row r="207" spans="1:80" s="128" customFormat="1" ht="18" x14ac:dyDescent="0.3">
      <c r="A207" s="123">
        <v>18</v>
      </c>
      <c r="B207" s="123"/>
      <c r="C207" s="124"/>
      <c r="D207" s="53" t="s">
        <v>338</v>
      </c>
      <c r="E207" s="42"/>
      <c r="F207" s="82">
        <v>800.89</v>
      </c>
      <c r="G207" s="82">
        <v>77.91</v>
      </c>
      <c r="H207" s="82">
        <v>769.89</v>
      </c>
      <c r="I207" s="125">
        <v>47.91</v>
      </c>
      <c r="J207" s="126">
        <v>795</v>
      </c>
      <c r="K207" s="127">
        <v>0</v>
      </c>
      <c r="L207" s="127">
        <v>0</v>
      </c>
      <c r="M207" s="127">
        <f t="shared" ref="M207:M212" si="761">J207+K207+L207</f>
        <v>795</v>
      </c>
      <c r="N207" s="127">
        <v>0</v>
      </c>
      <c r="O207" s="127">
        <v>0</v>
      </c>
      <c r="P207" s="127">
        <v>0</v>
      </c>
      <c r="Q207" s="127">
        <f t="shared" ref="Q207:Q208" si="762">N207+O207+P207</f>
        <v>0</v>
      </c>
      <c r="R207" s="127">
        <f t="shared" si="734"/>
        <v>795</v>
      </c>
      <c r="S207" s="127">
        <v>170</v>
      </c>
      <c r="V207" s="125">
        <f t="shared" ref="V207" si="763">ROUND(H207*1.0583,2)</f>
        <v>814.77</v>
      </c>
      <c r="W207" s="125">
        <f t="shared" ref="W207" si="764">ROUND(I207*1.0327,2)</f>
        <v>49.48</v>
      </c>
      <c r="X207" s="111">
        <f t="shared" si="709"/>
        <v>-19.769999999999982</v>
      </c>
      <c r="Y207" s="111">
        <f t="shared" si="710"/>
        <v>120.52000000000001</v>
      </c>
      <c r="Z207" s="111">
        <v>795</v>
      </c>
      <c r="AA207" s="111"/>
      <c r="AB207" s="111">
        <f t="shared" si="711"/>
        <v>795</v>
      </c>
      <c r="AC207" s="111">
        <f t="shared" si="712"/>
        <v>0</v>
      </c>
      <c r="AD207" s="111">
        <f t="shared" si="758"/>
        <v>795</v>
      </c>
      <c r="AE207" s="111">
        <v>300</v>
      </c>
      <c r="AF207" s="111">
        <f t="shared" si="713"/>
        <v>153.37</v>
      </c>
      <c r="AG207" s="111">
        <f t="shared" si="714"/>
        <v>199</v>
      </c>
      <c r="AH207" s="111">
        <v>12</v>
      </c>
      <c r="AI207" s="134">
        <f t="shared" si="716"/>
        <v>66</v>
      </c>
      <c r="AJ207" s="111">
        <v>4</v>
      </c>
      <c r="AK207" s="111"/>
      <c r="AL207" s="111"/>
      <c r="AM207" s="111">
        <f t="shared" si="718"/>
        <v>198.75</v>
      </c>
      <c r="AN207" s="111">
        <f>ROUND(AE207*24.35%,2)+0.95</f>
        <v>74</v>
      </c>
      <c r="AO207" s="111"/>
      <c r="AP207" s="111"/>
      <c r="AQ207" s="110">
        <f t="shared" si="720"/>
        <v>397.75</v>
      </c>
      <c r="AR207" s="110">
        <f t="shared" si="721"/>
        <v>86</v>
      </c>
      <c r="AS207" s="110"/>
      <c r="AT207" s="110"/>
      <c r="AU207" s="110">
        <f t="shared" si="583"/>
        <v>198.75</v>
      </c>
      <c r="AV207" s="110">
        <f t="shared" ref="AV207:AV237" si="765">ROUND(AE207*25%,2)</f>
        <v>75</v>
      </c>
      <c r="AW207" s="110"/>
      <c r="AX207" s="110"/>
      <c r="AY207" s="110">
        <f t="shared" si="699"/>
        <v>662.5</v>
      </c>
      <c r="AZ207" s="110">
        <f t="shared" si="700"/>
        <v>165</v>
      </c>
      <c r="BA207" s="110">
        <f t="shared" si="701"/>
        <v>827.5</v>
      </c>
      <c r="BB207" s="142">
        <v>610.80999999999995</v>
      </c>
      <c r="BC207" s="142">
        <v>161.41999999999999</v>
      </c>
      <c r="BD207" s="142">
        <f t="shared" si="702"/>
        <v>51.690000000000055</v>
      </c>
      <c r="BE207" s="142">
        <f t="shared" si="703"/>
        <v>3.5800000000000125</v>
      </c>
      <c r="BF207" s="142">
        <f t="shared" si="704"/>
        <v>122.16</v>
      </c>
      <c r="BG207" s="142">
        <f t="shared" si="705"/>
        <v>32.28</v>
      </c>
      <c r="BH207" s="110">
        <v>35.24</v>
      </c>
      <c r="BI207" s="110">
        <v>14.35</v>
      </c>
      <c r="BJ207" s="110"/>
      <c r="BK207" s="110"/>
      <c r="BL207" s="110">
        <f t="shared" si="736"/>
        <v>697.74</v>
      </c>
      <c r="BM207" s="110">
        <f t="shared" si="737"/>
        <v>179.35</v>
      </c>
      <c r="BN207" s="110">
        <f t="shared" si="738"/>
        <v>877.09</v>
      </c>
      <c r="BO207" s="110">
        <v>682.41</v>
      </c>
      <c r="BP207" s="129">
        <v>179.62</v>
      </c>
      <c r="BQ207" s="110">
        <f t="shared" si="739"/>
        <v>15.330000000000041</v>
      </c>
      <c r="BR207" s="110">
        <f t="shared" si="740"/>
        <v>-0.27000000000001023</v>
      </c>
      <c r="BS207" s="110">
        <f t="shared" si="741"/>
        <v>62.04</v>
      </c>
      <c r="BT207" s="110">
        <f t="shared" si="742"/>
        <v>16.329999999999998</v>
      </c>
      <c r="BU207" s="146">
        <v>52.26</v>
      </c>
      <c r="BV207" s="146">
        <v>85.65</v>
      </c>
      <c r="BW207" s="146"/>
      <c r="BX207" s="146"/>
      <c r="BY207" s="146"/>
      <c r="BZ207" s="146"/>
      <c r="CA207" s="110">
        <f t="shared" si="743"/>
        <v>750</v>
      </c>
      <c r="CB207" s="110">
        <f t="shared" si="744"/>
        <v>265</v>
      </c>
    </row>
    <row r="208" spans="1:80" ht="18" x14ac:dyDescent="0.3">
      <c r="A208" s="13">
        <v>19</v>
      </c>
      <c r="B208" s="13"/>
      <c r="C208" s="14"/>
      <c r="D208" s="15" t="s">
        <v>339</v>
      </c>
      <c r="E208" s="16"/>
      <c r="F208" s="82">
        <v>986.71999999999991</v>
      </c>
      <c r="G208" s="82">
        <v>0</v>
      </c>
      <c r="H208" s="82">
        <v>899.99999999999989</v>
      </c>
      <c r="I208" s="17">
        <v>0</v>
      </c>
      <c r="J208" s="87">
        <v>1150</v>
      </c>
      <c r="K208" s="88">
        <v>0</v>
      </c>
      <c r="L208" s="88">
        <v>0</v>
      </c>
      <c r="M208" s="88">
        <f t="shared" si="761"/>
        <v>1150</v>
      </c>
      <c r="N208" s="88">
        <v>0</v>
      </c>
      <c r="O208" s="88">
        <v>0</v>
      </c>
      <c r="P208" s="88">
        <v>0</v>
      </c>
      <c r="Q208" s="88">
        <f t="shared" si="762"/>
        <v>0</v>
      </c>
      <c r="R208" s="88">
        <f t="shared" si="734"/>
        <v>1150</v>
      </c>
      <c r="S208" s="88"/>
      <c r="V208" s="17">
        <f t="shared" ref="V208" si="766">ROUND(H208*1.0583,2)</f>
        <v>952.47</v>
      </c>
      <c r="W208" s="17">
        <f t="shared" ref="W208" si="767">ROUND(I208*1.0327,2)</f>
        <v>0</v>
      </c>
      <c r="X208" s="110">
        <f t="shared" si="709"/>
        <v>197.52999999999997</v>
      </c>
      <c r="Y208" s="110">
        <f t="shared" si="710"/>
        <v>0</v>
      </c>
      <c r="Z208" s="110">
        <v>952.47</v>
      </c>
      <c r="AA208" s="110"/>
      <c r="AB208" s="110">
        <f t="shared" si="711"/>
        <v>952.47</v>
      </c>
      <c r="AC208" s="111">
        <f t="shared" si="712"/>
        <v>0</v>
      </c>
      <c r="AD208" s="110">
        <f t="shared" ref="AD208" si="768">IF(X208&gt;0,V208,R208)</f>
        <v>952.47</v>
      </c>
      <c r="AE208" s="110">
        <f t="shared" ref="AE208" si="769">IF(Y208&gt;0,W208,S208)</f>
        <v>0</v>
      </c>
      <c r="AF208" s="110">
        <f t="shared" si="713"/>
        <v>0</v>
      </c>
      <c r="AG208" s="110">
        <f t="shared" si="714"/>
        <v>238</v>
      </c>
      <c r="AH208" s="110">
        <f t="shared" si="715"/>
        <v>0</v>
      </c>
      <c r="AI208" s="129">
        <f t="shared" si="716"/>
        <v>79</v>
      </c>
      <c r="AJ208" s="110">
        <f t="shared" si="717"/>
        <v>0</v>
      </c>
      <c r="AM208" s="110">
        <f t="shared" si="718"/>
        <v>238.12</v>
      </c>
      <c r="AN208" s="110">
        <f t="shared" si="719"/>
        <v>0</v>
      </c>
      <c r="AQ208" s="110">
        <f t="shared" si="720"/>
        <v>476.12</v>
      </c>
      <c r="AR208" s="110">
        <f t="shared" si="721"/>
        <v>0</v>
      </c>
      <c r="AU208" s="110">
        <f t="shared" si="583"/>
        <v>238.12</v>
      </c>
      <c r="AV208" s="110">
        <f t="shared" si="765"/>
        <v>0</v>
      </c>
      <c r="AY208" s="110">
        <f t="shared" si="699"/>
        <v>793.24</v>
      </c>
      <c r="AZ208" s="110">
        <f t="shared" si="700"/>
        <v>0</v>
      </c>
      <c r="BA208" s="110">
        <f t="shared" si="701"/>
        <v>793.24</v>
      </c>
      <c r="BB208" s="142">
        <v>739</v>
      </c>
      <c r="BD208" s="142">
        <f t="shared" si="702"/>
        <v>54.240000000000009</v>
      </c>
      <c r="BE208" s="142">
        <f t="shared" si="703"/>
        <v>0</v>
      </c>
      <c r="BF208" s="142">
        <f t="shared" si="704"/>
        <v>147.80000000000001</v>
      </c>
      <c r="BG208" s="142">
        <f t="shared" si="705"/>
        <v>0</v>
      </c>
      <c r="BH208" s="110">
        <v>46.78</v>
      </c>
      <c r="BI208" s="110">
        <v>0</v>
      </c>
      <c r="BL208" s="110">
        <f t="shared" si="736"/>
        <v>840.02</v>
      </c>
      <c r="BM208" s="110">
        <f t="shared" si="737"/>
        <v>0</v>
      </c>
      <c r="BN208" s="110">
        <f t="shared" si="738"/>
        <v>840.02</v>
      </c>
      <c r="BO208" s="110">
        <v>739</v>
      </c>
      <c r="BP208" s="129"/>
      <c r="BQ208" s="110">
        <f t="shared" si="739"/>
        <v>101.01999999999998</v>
      </c>
      <c r="BR208" s="110">
        <f t="shared" si="740"/>
        <v>0</v>
      </c>
      <c r="BS208" s="110">
        <f t="shared" si="741"/>
        <v>67.180000000000007</v>
      </c>
      <c r="BT208" s="110">
        <f t="shared" si="742"/>
        <v>0</v>
      </c>
      <c r="BU208" s="110">
        <v>0</v>
      </c>
      <c r="BV208" s="110">
        <v>0</v>
      </c>
      <c r="BW208" s="110">
        <v>112</v>
      </c>
      <c r="CA208" s="110">
        <f t="shared" si="743"/>
        <v>952.02</v>
      </c>
      <c r="CB208" s="110">
        <f t="shared" si="744"/>
        <v>0</v>
      </c>
    </row>
    <row r="209" spans="1:80" ht="18" x14ac:dyDescent="0.3">
      <c r="A209" s="18"/>
      <c r="B209" s="18" t="s">
        <v>340</v>
      </c>
      <c r="C209" s="19" t="s">
        <v>45</v>
      </c>
      <c r="D209" s="20" t="s">
        <v>338</v>
      </c>
      <c r="E209" s="21" t="s">
        <v>341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9">
        <f t="shared" ref="J209:AA209" si="770">+J207+J208</f>
        <v>1945</v>
      </c>
      <c r="K209" s="89">
        <f t="shared" si="770"/>
        <v>0</v>
      </c>
      <c r="L209" s="89">
        <f t="shared" si="770"/>
        <v>0</v>
      </c>
      <c r="M209" s="89">
        <f t="shared" si="770"/>
        <v>1945</v>
      </c>
      <c r="N209" s="89">
        <f t="shared" si="770"/>
        <v>0</v>
      </c>
      <c r="O209" s="89">
        <f t="shared" si="770"/>
        <v>0</v>
      </c>
      <c r="P209" s="89">
        <f t="shared" si="770"/>
        <v>0</v>
      </c>
      <c r="Q209" s="89">
        <f t="shared" si="770"/>
        <v>0</v>
      </c>
      <c r="R209" s="89">
        <f t="shared" si="770"/>
        <v>1945</v>
      </c>
      <c r="S209" s="89">
        <f t="shared" si="770"/>
        <v>170</v>
      </c>
      <c r="T209" s="89">
        <f t="shared" si="770"/>
        <v>0</v>
      </c>
      <c r="U209" s="89">
        <f t="shared" si="770"/>
        <v>0</v>
      </c>
      <c r="V209" s="89">
        <f t="shared" si="770"/>
        <v>1767.24</v>
      </c>
      <c r="W209" s="89">
        <f t="shared" si="770"/>
        <v>49.48</v>
      </c>
      <c r="X209" s="89">
        <f t="shared" si="770"/>
        <v>177.76</v>
      </c>
      <c r="Y209" s="89">
        <f t="shared" si="770"/>
        <v>120.52000000000001</v>
      </c>
      <c r="Z209" s="89">
        <f t="shared" si="770"/>
        <v>1747.47</v>
      </c>
      <c r="AA209" s="89">
        <f t="shared" si="770"/>
        <v>0</v>
      </c>
      <c r="AB209" s="22">
        <f t="shared" si="711"/>
        <v>1747.47</v>
      </c>
      <c r="AC209" s="111">
        <f t="shared" si="712"/>
        <v>0</v>
      </c>
      <c r="AD209" s="22">
        <f t="shared" ref="AD209:CB209" si="771">+AD207+AD208</f>
        <v>1747.47</v>
      </c>
      <c r="AE209" s="22">
        <f t="shared" si="771"/>
        <v>300</v>
      </c>
      <c r="AF209" s="22">
        <f t="shared" si="771"/>
        <v>153.37</v>
      </c>
      <c r="AG209" s="22">
        <f t="shared" si="771"/>
        <v>437</v>
      </c>
      <c r="AH209" s="22">
        <f t="shared" si="771"/>
        <v>12</v>
      </c>
      <c r="AI209" s="120">
        <f t="shared" si="771"/>
        <v>145</v>
      </c>
      <c r="AJ209" s="22">
        <f t="shared" si="771"/>
        <v>4</v>
      </c>
      <c r="AK209" s="22">
        <f t="shared" si="771"/>
        <v>0</v>
      </c>
      <c r="AL209" s="22">
        <f t="shared" si="771"/>
        <v>0</v>
      </c>
      <c r="AM209" s="22">
        <f t="shared" si="771"/>
        <v>436.87</v>
      </c>
      <c r="AN209" s="22">
        <f t="shared" si="771"/>
        <v>74</v>
      </c>
      <c r="AO209" s="22">
        <f t="shared" si="771"/>
        <v>0</v>
      </c>
      <c r="AP209" s="22">
        <f t="shared" si="771"/>
        <v>0</v>
      </c>
      <c r="AQ209" s="22">
        <f t="shared" si="771"/>
        <v>873.87</v>
      </c>
      <c r="AR209" s="22">
        <f t="shared" si="771"/>
        <v>86</v>
      </c>
      <c r="AS209" s="22">
        <f t="shared" si="771"/>
        <v>0</v>
      </c>
      <c r="AT209" s="22">
        <f t="shared" si="771"/>
        <v>0</v>
      </c>
      <c r="AU209" s="22">
        <f t="shared" si="771"/>
        <v>436.87</v>
      </c>
      <c r="AV209" s="22">
        <f t="shared" si="771"/>
        <v>75</v>
      </c>
      <c r="AW209" s="22">
        <f t="shared" si="771"/>
        <v>0</v>
      </c>
      <c r="AX209" s="22">
        <f t="shared" si="771"/>
        <v>0</v>
      </c>
      <c r="AY209" s="22">
        <f t="shared" si="771"/>
        <v>1455.74</v>
      </c>
      <c r="AZ209" s="22">
        <f t="shared" si="771"/>
        <v>165</v>
      </c>
      <c r="BA209" s="22">
        <f t="shared" si="771"/>
        <v>1620.74</v>
      </c>
      <c r="BB209" s="22">
        <f t="shared" si="771"/>
        <v>1349.81</v>
      </c>
      <c r="BC209" s="22">
        <f t="shared" si="771"/>
        <v>161.41999999999999</v>
      </c>
      <c r="BD209" s="22">
        <f t="shared" si="771"/>
        <v>105.93000000000006</v>
      </c>
      <c r="BE209" s="22">
        <f t="shared" si="771"/>
        <v>3.5800000000000125</v>
      </c>
      <c r="BF209" s="22">
        <f t="shared" si="771"/>
        <v>269.96000000000004</v>
      </c>
      <c r="BG209" s="120">
        <f t="shared" si="771"/>
        <v>32.28</v>
      </c>
      <c r="BH209" s="120">
        <f t="shared" si="771"/>
        <v>82.02000000000001</v>
      </c>
      <c r="BI209" s="120">
        <f t="shared" si="771"/>
        <v>14.35</v>
      </c>
      <c r="BJ209" s="120">
        <f t="shared" si="771"/>
        <v>0</v>
      </c>
      <c r="BK209" s="120">
        <f t="shared" si="771"/>
        <v>0</v>
      </c>
      <c r="BL209" s="120">
        <f t="shared" si="771"/>
        <v>1537.76</v>
      </c>
      <c r="BM209" s="120">
        <f t="shared" si="771"/>
        <v>179.35</v>
      </c>
      <c r="BN209" s="120">
        <f t="shared" si="771"/>
        <v>1717.1100000000001</v>
      </c>
      <c r="BO209" s="120">
        <f t="shared" si="771"/>
        <v>1421.4099999999999</v>
      </c>
      <c r="BP209" s="120">
        <f t="shared" si="771"/>
        <v>179.62</v>
      </c>
      <c r="BQ209" s="22">
        <f t="shared" si="771"/>
        <v>116.35000000000002</v>
      </c>
      <c r="BR209" s="22">
        <f t="shared" si="771"/>
        <v>-0.27000000000001023</v>
      </c>
      <c r="BS209" s="22">
        <f t="shared" si="771"/>
        <v>129.22</v>
      </c>
      <c r="BT209" s="22">
        <f t="shared" si="771"/>
        <v>16.329999999999998</v>
      </c>
      <c r="BU209" s="22">
        <f t="shared" si="771"/>
        <v>52.26</v>
      </c>
      <c r="BV209" s="22">
        <f t="shared" si="771"/>
        <v>85.65</v>
      </c>
      <c r="BW209" s="22">
        <f t="shared" si="771"/>
        <v>112</v>
      </c>
      <c r="BX209" s="22">
        <f t="shared" si="771"/>
        <v>0</v>
      </c>
      <c r="BY209" s="22">
        <f t="shared" si="771"/>
        <v>0</v>
      </c>
      <c r="BZ209" s="22">
        <f t="shared" si="771"/>
        <v>0</v>
      </c>
      <c r="CA209" s="22">
        <f t="shared" si="771"/>
        <v>1702.02</v>
      </c>
      <c r="CB209" s="22">
        <f t="shared" si="771"/>
        <v>265</v>
      </c>
    </row>
    <row r="210" spans="1:80" ht="18" x14ac:dyDescent="0.3">
      <c r="A210" s="13">
        <v>20</v>
      </c>
      <c r="B210" s="13"/>
      <c r="C210" s="14"/>
      <c r="D210" s="15" t="s">
        <v>342</v>
      </c>
      <c r="E210" s="16"/>
      <c r="F210" s="82">
        <v>994</v>
      </c>
      <c r="G210" s="82">
        <v>33.879999999999995</v>
      </c>
      <c r="H210" s="82">
        <v>994</v>
      </c>
      <c r="I210" s="17">
        <v>34.129999999999995</v>
      </c>
      <c r="J210" s="87">
        <v>1120</v>
      </c>
      <c r="K210" s="88">
        <v>0</v>
      </c>
      <c r="L210" s="88">
        <v>0</v>
      </c>
      <c r="M210" s="88">
        <f t="shared" si="761"/>
        <v>1120</v>
      </c>
      <c r="N210" s="88">
        <v>0</v>
      </c>
      <c r="O210" s="88">
        <v>0</v>
      </c>
      <c r="P210" s="88">
        <v>0</v>
      </c>
      <c r="Q210" s="88">
        <f t="shared" ref="Q210:Q212" si="772">N210+O210+P210</f>
        <v>0</v>
      </c>
      <c r="R210" s="88">
        <f t="shared" si="734"/>
        <v>1120</v>
      </c>
      <c r="S210" s="88">
        <v>0</v>
      </c>
      <c r="V210" s="17">
        <f t="shared" ref="V210" si="773">ROUND(H210*1.0583,2)</f>
        <v>1051.95</v>
      </c>
      <c r="W210" s="17">
        <f t="shared" ref="W210" si="774">ROUND(I210*1.0327,2)</f>
        <v>35.25</v>
      </c>
      <c r="X210" s="110">
        <f t="shared" si="709"/>
        <v>68.049999999999955</v>
      </c>
      <c r="Y210" s="110">
        <f t="shared" si="710"/>
        <v>-35.25</v>
      </c>
      <c r="Z210" s="110">
        <v>1051.95</v>
      </c>
      <c r="AA210" s="110"/>
      <c r="AB210" s="110">
        <f t="shared" si="711"/>
        <v>1051.95</v>
      </c>
      <c r="AC210" s="111">
        <f t="shared" si="712"/>
        <v>0</v>
      </c>
      <c r="AD210" s="110">
        <f t="shared" ref="AD210:AD211" si="775">IF(X210&gt;0,V210,R210)</f>
        <v>1051.95</v>
      </c>
      <c r="AE210" s="110">
        <f t="shared" ref="AE210:AE211" si="776">IF(Y210&gt;0,W210,S210)</f>
        <v>0</v>
      </c>
      <c r="AF210" s="110">
        <f t="shared" si="713"/>
        <v>0</v>
      </c>
      <c r="AG210" s="110">
        <f t="shared" si="714"/>
        <v>263</v>
      </c>
      <c r="AH210" s="110">
        <f t="shared" si="715"/>
        <v>0</v>
      </c>
      <c r="AI210" s="129">
        <f t="shared" si="716"/>
        <v>88</v>
      </c>
      <c r="AJ210" s="110">
        <f t="shared" si="717"/>
        <v>0</v>
      </c>
      <c r="AM210" s="110">
        <f t="shared" si="718"/>
        <v>262.99</v>
      </c>
      <c r="AN210" s="110">
        <f t="shared" si="719"/>
        <v>0</v>
      </c>
      <c r="AQ210" s="110">
        <f t="shared" si="720"/>
        <v>525.99</v>
      </c>
      <c r="AR210" s="110">
        <f t="shared" si="721"/>
        <v>0</v>
      </c>
      <c r="AU210" s="110">
        <f t="shared" si="583"/>
        <v>262.99</v>
      </c>
      <c r="AV210" s="110">
        <f t="shared" si="765"/>
        <v>0</v>
      </c>
      <c r="AY210" s="110">
        <f t="shared" si="699"/>
        <v>876.98</v>
      </c>
      <c r="AZ210" s="110">
        <f t="shared" si="700"/>
        <v>0</v>
      </c>
      <c r="BA210" s="110">
        <f t="shared" si="701"/>
        <v>876.98</v>
      </c>
      <c r="BB210" s="142">
        <v>916.78</v>
      </c>
      <c r="BD210" s="142">
        <f t="shared" si="702"/>
        <v>-39.799999999999955</v>
      </c>
      <c r="BE210" s="142">
        <f t="shared" si="703"/>
        <v>0</v>
      </c>
      <c r="BF210" s="142">
        <f t="shared" si="704"/>
        <v>183.36</v>
      </c>
      <c r="BG210" s="142">
        <f t="shared" si="705"/>
        <v>0</v>
      </c>
      <c r="BH210" s="110">
        <v>111.58</v>
      </c>
      <c r="BI210" s="110">
        <v>0</v>
      </c>
      <c r="BL210" s="110">
        <f t="shared" si="736"/>
        <v>988.56000000000006</v>
      </c>
      <c r="BM210" s="110">
        <f t="shared" si="737"/>
        <v>0</v>
      </c>
      <c r="BN210" s="110">
        <f t="shared" si="738"/>
        <v>988.56000000000006</v>
      </c>
      <c r="BO210" s="110">
        <v>1008.66</v>
      </c>
      <c r="BP210" s="129"/>
      <c r="BQ210" s="110">
        <f t="shared" si="739"/>
        <v>-20.099999999999909</v>
      </c>
      <c r="BR210" s="110">
        <f t="shared" si="740"/>
        <v>0</v>
      </c>
      <c r="BS210" s="110">
        <f t="shared" si="741"/>
        <v>91.7</v>
      </c>
      <c r="BT210" s="110">
        <f t="shared" si="742"/>
        <v>0</v>
      </c>
      <c r="BU210" s="110">
        <f t="shared" si="760"/>
        <v>111.79999999999991</v>
      </c>
      <c r="BV210" s="110">
        <v>0</v>
      </c>
      <c r="BW210" s="110">
        <v>3.19</v>
      </c>
      <c r="BX210" s="110">
        <v>0.45</v>
      </c>
      <c r="CA210" s="110">
        <f t="shared" si="743"/>
        <v>1103.55</v>
      </c>
      <c r="CB210" s="110">
        <f t="shared" si="744"/>
        <v>0.45</v>
      </c>
    </row>
    <row r="211" spans="1:80" ht="18" x14ac:dyDescent="0.3">
      <c r="A211" s="13">
        <v>21</v>
      </c>
      <c r="B211" s="13"/>
      <c r="C211" s="14"/>
      <c r="D211" s="15" t="s">
        <v>343</v>
      </c>
      <c r="E211" s="16"/>
      <c r="F211" s="82">
        <v>1807.6299999999997</v>
      </c>
      <c r="G211" s="82">
        <v>0</v>
      </c>
      <c r="H211" s="82">
        <v>1807.6299999999997</v>
      </c>
      <c r="I211" s="17">
        <v>0</v>
      </c>
      <c r="J211" s="87">
        <v>2000</v>
      </c>
      <c r="K211" s="88">
        <v>0</v>
      </c>
      <c r="L211" s="88">
        <v>0</v>
      </c>
      <c r="M211" s="88">
        <f t="shared" si="761"/>
        <v>2000</v>
      </c>
      <c r="N211" s="88">
        <v>0</v>
      </c>
      <c r="O211" s="88">
        <v>0</v>
      </c>
      <c r="P211" s="88">
        <v>0</v>
      </c>
      <c r="Q211" s="88">
        <f t="shared" si="772"/>
        <v>0</v>
      </c>
      <c r="R211" s="88">
        <f t="shared" si="734"/>
        <v>2000</v>
      </c>
      <c r="S211" s="88">
        <v>0</v>
      </c>
      <c r="V211" s="17">
        <f t="shared" ref="V211:V212" si="777">ROUND(H211*1.0583,2)</f>
        <v>1913.01</v>
      </c>
      <c r="W211" s="17">
        <f t="shared" ref="W211:W212" si="778">ROUND(I211*1.0327,2)</f>
        <v>0</v>
      </c>
      <c r="X211" s="110">
        <f t="shared" si="709"/>
        <v>86.990000000000009</v>
      </c>
      <c r="Y211" s="110">
        <f t="shared" si="710"/>
        <v>0</v>
      </c>
      <c r="Z211" s="110">
        <v>1913.01</v>
      </c>
      <c r="AA211" s="110"/>
      <c r="AB211" s="110">
        <f t="shared" si="711"/>
        <v>1913.01</v>
      </c>
      <c r="AC211" s="111">
        <f t="shared" si="712"/>
        <v>0</v>
      </c>
      <c r="AD211" s="110">
        <f t="shared" si="775"/>
        <v>1913.01</v>
      </c>
      <c r="AE211" s="110">
        <f t="shared" si="776"/>
        <v>0</v>
      </c>
      <c r="AF211" s="110">
        <f t="shared" si="713"/>
        <v>0</v>
      </c>
      <c r="AG211" s="110">
        <f t="shared" si="714"/>
        <v>478</v>
      </c>
      <c r="AH211" s="110">
        <f t="shared" si="715"/>
        <v>0</v>
      </c>
      <c r="AI211" s="129">
        <f t="shared" si="716"/>
        <v>159</v>
      </c>
      <c r="AJ211" s="110">
        <f t="shared" si="717"/>
        <v>0</v>
      </c>
      <c r="AM211" s="110">
        <f t="shared" si="718"/>
        <v>478.25</v>
      </c>
      <c r="AN211" s="110">
        <f t="shared" si="719"/>
        <v>0</v>
      </c>
      <c r="AQ211" s="110">
        <f t="shared" si="720"/>
        <v>956.25</v>
      </c>
      <c r="AR211" s="110">
        <f t="shared" si="721"/>
        <v>0</v>
      </c>
      <c r="AU211" s="110">
        <f t="shared" si="583"/>
        <v>478.25</v>
      </c>
      <c r="AV211" s="110">
        <f t="shared" si="765"/>
        <v>0</v>
      </c>
      <c r="AY211" s="110">
        <f t="shared" si="699"/>
        <v>1593.5</v>
      </c>
      <c r="AZ211" s="110">
        <f t="shared" si="700"/>
        <v>0</v>
      </c>
      <c r="BA211" s="110">
        <f t="shared" si="701"/>
        <v>1593.5</v>
      </c>
      <c r="BB211" s="142">
        <v>1595.28</v>
      </c>
      <c r="BD211" s="142">
        <f t="shared" si="702"/>
        <v>-1.7799999999999727</v>
      </c>
      <c r="BE211" s="142">
        <f t="shared" si="703"/>
        <v>0</v>
      </c>
      <c r="BF211" s="142">
        <f t="shared" si="704"/>
        <v>319.06</v>
      </c>
      <c r="BG211" s="142">
        <f t="shared" si="705"/>
        <v>0</v>
      </c>
      <c r="BH211" s="110">
        <v>159.76</v>
      </c>
      <c r="BI211" s="110">
        <v>0</v>
      </c>
      <c r="BL211" s="110">
        <f t="shared" si="736"/>
        <v>1753.26</v>
      </c>
      <c r="BM211" s="110">
        <f t="shared" si="737"/>
        <v>0</v>
      </c>
      <c r="BN211" s="110">
        <f t="shared" si="738"/>
        <v>1753.26</v>
      </c>
      <c r="BO211" s="110">
        <v>1595.28</v>
      </c>
      <c r="BP211" s="129"/>
      <c r="BQ211" s="110">
        <f t="shared" si="739"/>
        <v>157.98000000000002</v>
      </c>
      <c r="BR211" s="110">
        <f t="shared" si="740"/>
        <v>0</v>
      </c>
      <c r="BS211" s="110">
        <f t="shared" si="741"/>
        <v>145.03</v>
      </c>
      <c r="BT211" s="110">
        <f t="shared" si="742"/>
        <v>0</v>
      </c>
      <c r="BU211" s="110">
        <f t="shared" si="760"/>
        <v>-12.950000000000017</v>
      </c>
      <c r="BV211" s="110">
        <v>0</v>
      </c>
      <c r="BW211" s="111">
        <f>51+121.7</f>
        <v>172.7</v>
      </c>
      <c r="CA211" s="110">
        <f t="shared" si="743"/>
        <v>1913.01</v>
      </c>
      <c r="CB211" s="110">
        <f t="shared" si="744"/>
        <v>0</v>
      </c>
    </row>
    <row r="212" spans="1:80" ht="18" x14ac:dyDescent="0.3">
      <c r="A212" s="13">
        <v>22</v>
      </c>
      <c r="B212" s="13"/>
      <c r="C212" s="14"/>
      <c r="D212" s="15" t="s">
        <v>344</v>
      </c>
      <c r="E212" s="16"/>
      <c r="F212" s="82">
        <v>0</v>
      </c>
      <c r="G212" s="82">
        <v>0</v>
      </c>
      <c r="H212" s="82">
        <v>0</v>
      </c>
      <c r="I212" s="17">
        <v>0</v>
      </c>
      <c r="J212" s="87">
        <v>0</v>
      </c>
      <c r="K212" s="88">
        <v>0</v>
      </c>
      <c r="L212" s="88">
        <v>0</v>
      </c>
      <c r="M212" s="88">
        <f t="shared" si="761"/>
        <v>0</v>
      </c>
      <c r="N212" s="88">
        <v>0</v>
      </c>
      <c r="O212" s="88">
        <v>0</v>
      </c>
      <c r="P212" s="88">
        <v>0</v>
      </c>
      <c r="Q212" s="88">
        <f t="shared" si="772"/>
        <v>0</v>
      </c>
      <c r="R212" s="88">
        <f t="shared" si="734"/>
        <v>0</v>
      </c>
      <c r="S212" s="88">
        <v>0</v>
      </c>
      <c r="V212" s="17">
        <f t="shared" si="777"/>
        <v>0</v>
      </c>
      <c r="W212" s="17">
        <f t="shared" si="778"/>
        <v>0</v>
      </c>
      <c r="X212" s="110">
        <f t="shared" si="709"/>
        <v>0</v>
      </c>
      <c r="Y212" s="110">
        <f t="shared" si="710"/>
        <v>0</v>
      </c>
      <c r="Z212" s="110">
        <v>0</v>
      </c>
      <c r="AA212" s="110"/>
      <c r="AB212" s="110">
        <f t="shared" si="711"/>
        <v>0</v>
      </c>
      <c r="AC212" s="111">
        <f t="shared" si="712"/>
        <v>0</v>
      </c>
      <c r="AD212" s="110">
        <f t="shared" ref="AD212" si="779">IF(X212&gt;0,V212,R212)</f>
        <v>0</v>
      </c>
      <c r="AE212" s="110">
        <f t="shared" ref="AE212" si="780">IF(Y212&gt;0,W212,S212)</f>
        <v>0</v>
      </c>
      <c r="AF212" s="110">
        <f t="shared" si="713"/>
        <v>0</v>
      </c>
      <c r="AG212" s="110">
        <f t="shared" si="714"/>
        <v>0</v>
      </c>
      <c r="AH212" s="110">
        <f t="shared" si="715"/>
        <v>0</v>
      </c>
      <c r="AI212" s="129">
        <f t="shared" si="716"/>
        <v>0</v>
      </c>
      <c r="AJ212" s="110">
        <f t="shared" si="717"/>
        <v>0</v>
      </c>
      <c r="AM212" s="110">
        <f t="shared" si="718"/>
        <v>0</v>
      </c>
      <c r="AN212" s="110">
        <f t="shared" si="719"/>
        <v>0</v>
      </c>
      <c r="AQ212" s="110">
        <f t="shared" si="720"/>
        <v>0</v>
      </c>
      <c r="AR212" s="110">
        <f t="shared" si="721"/>
        <v>0</v>
      </c>
      <c r="AU212" s="110">
        <f t="shared" si="583"/>
        <v>0</v>
      </c>
      <c r="AV212" s="110">
        <f t="shared" si="765"/>
        <v>0</v>
      </c>
      <c r="AY212" s="110">
        <f t="shared" si="699"/>
        <v>0</v>
      </c>
      <c r="AZ212" s="110">
        <f t="shared" si="700"/>
        <v>0</v>
      </c>
      <c r="BA212" s="110">
        <f t="shared" si="701"/>
        <v>0</v>
      </c>
      <c r="BB212" s="142">
        <v>0</v>
      </c>
      <c r="BD212" s="142">
        <f t="shared" si="702"/>
        <v>0</v>
      </c>
      <c r="BE212" s="142">
        <f t="shared" si="703"/>
        <v>0</v>
      </c>
      <c r="BF212" s="142">
        <f t="shared" si="704"/>
        <v>0</v>
      </c>
      <c r="BG212" s="142">
        <f t="shared" si="705"/>
        <v>0</v>
      </c>
      <c r="BH212" s="110">
        <v>0</v>
      </c>
      <c r="BI212" s="110">
        <v>0</v>
      </c>
      <c r="BL212" s="110">
        <f t="shared" si="736"/>
        <v>0</v>
      </c>
      <c r="BM212" s="110">
        <f t="shared" si="737"/>
        <v>0</v>
      </c>
      <c r="BN212" s="110">
        <f t="shared" si="738"/>
        <v>0</v>
      </c>
      <c r="BO212" s="110">
        <v>0</v>
      </c>
      <c r="BP212" s="129"/>
      <c r="BQ212" s="110">
        <f t="shared" si="739"/>
        <v>0</v>
      </c>
      <c r="BR212" s="110">
        <f t="shared" si="740"/>
        <v>0</v>
      </c>
      <c r="BS212" s="110">
        <f t="shared" si="741"/>
        <v>0</v>
      </c>
      <c r="BT212" s="110">
        <f t="shared" si="742"/>
        <v>0</v>
      </c>
      <c r="BU212" s="110">
        <f t="shared" si="760"/>
        <v>0</v>
      </c>
      <c r="BV212" s="110">
        <v>0</v>
      </c>
      <c r="CA212" s="110">
        <f t="shared" si="743"/>
        <v>0</v>
      </c>
      <c r="CB212" s="110">
        <f t="shared" si="744"/>
        <v>0</v>
      </c>
    </row>
    <row r="213" spans="1:80" ht="18" x14ac:dyDescent="0.3">
      <c r="A213" s="18"/>
      <c r="B213" s="18" t="s">
        <v>345</v>
      </c>
      <c r="C213" s="19" t="s">
        <v>23</v>
      </c>
      <c r="D213" s="20" t="s">
        <v>342</v>
      </c>
      <c r="E213" s="21" t="s">
        <v>346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9">
        <f t="shared" ref="J213:AA213" si="781">+J210+J211+J212</f>
        <v>3120</v>
      </c>
      <c r="K213" s="89">
        <f t="shared" si="781"/>
        <v>0</v>
      </c>
      <c r="L213" s="89">
        <f t="shared" si="781"/>
        <v>0</v>
      </c>
      <c r="M213" s="89">
        <f t="shared" si="781"/>
        <v>3120</v>
      </c>
      <c r="N213" s="89">
        <f t="shared" si="781"/>
        <v>0</v>
      </c>
      <c r="O213" s="89">
        <f t="shared" si="781"/>
        <v>0</v>
      </c>
      <c r="P213" s="89">
        <f t="shared" si="781"/>
        <v>0</v>
      </c>
      <c r="Q213" s="89">
        <f t="shared" si="781"/>
        <v>0</v>
      </c>
      <c r="R213" s="89">
        <f t="shared" si="781"/>
        <v>3120</v>
      </c>
      <c r="S213" s="89">
        <f t="shared" si="781"/>
        <v>0</v>
      </c>
      <c r="T213" s="89">
        <f t="shared" si="781"/>
        <v>0</v>
      </c>
      <c r="U213" s="89">
        <f t="shared" si="781"/>
        <v>0</v>
      </c>
      <c r="V213" s="89">
        <f t="shared" si="781"/>
        <v>2964.96</v>
      </c>
      <c r="W213" s="89">
        <f t="shared" si="781"/>
        <v>35.25</v>
      </c>
      <c r="X213" s="89">
        <f t="shared" si="781"/>
        <v>155.03999999999996</v>
      </c>
      <c r="Y213" s="89">
        <f t="shared" si="781"/>
        <v>-35.25</v>
      </c>
      <c r="Z213" s="89">
        <f t="shared" si="781"/>
        <v>2964.96</v>
      </c>
      <c r="AA213" s="89">
        <f t="shared" si="781"/>
        <v>0</v>
      </c>
      <c r="AB213" s="22">
        <f t="shared" si="711"/>
        <v>2964.96</v>
      </c>
      <c r="AC213" s="111">
        <f t="shared" si="712"/>
        <v>0</v>
      </c>
      <c r="AD213" s="22">
        <f t="shared" ref="AD213:CB213" si="782">+AD210+AD211+AD212</f>
        <v>2964.96</v>
      </c>
      <c r="AE213" s="22">
        <f t="shared" si="782"/>
        <v>0</v>
      </c>
      <c r="AF213" s="22">
        <f t="shared" si="782"/>
        <v>0</v>
      </c>
      <c r="AG213" s="22">
        <f t="shared" si="782"/>
        <v>741</v>
      </c>
      <c r="AH213" s="22">
        <f t="shared" si="782"/>
        <v>0</v>
      </c>
      <c r="AI213" s="120">
        <f t="shared" si="782"/>
        <v>247</v>
      </c>
      <c r="AJ213" s="22">
        <f t="shared" si="782"/>
        <v>0</v>
      </c>
      <c r="AK213" s="22">
        <f t="shared" si="782"/>
        <v>0</v>
      </c>
      <c r="AL213" s="22">
        <f t="shared" si="782"/>
        <v>0</v>
      </c>
      <c r="AM213" s="22">
        <f t="shared" si="782"/>
        <v>741.24</v>
      </c>
      <c r="AN213" s="22">
        <f t="shared" si="782"/>
        <v>0</v>
      </c>
      <c r="AO213" s="22">
        <f t="shared" si="782"/>
        <v>0</v>
      </c>
      <c r="AP213" s="22">
        <f t="shared" si="782"/>
        <v>0</v>
      </c>
      <c r="AQ213" s="22">
        <f t="shared" si="782"/>
        <v>1482.24</v>
      </c>
      <c r="AR213" s="22">
        <f t="shared" si="782"/>
        <v>0</v>
      </c>
      <c r="AS213" s="22">
        <f t="shared" si="782"/>
        <v>0</v>
      </c>
      <c r="AT213" s="22">
        <f t="shared" si="782"/>
        <v>0</v>
      </c>
      <c r="AU213" s="22">
        <f t="shared" si="782"/>
        <v>741.24</v>
      </c>
      <c r="AV213" s="22">
        <f t="shared" si="782"/>
        <v>0</v>
      </c>
      <c r="AW213" s="22">
        <f t="shared" si="782"/>
        <v>0</v>
      </c>
      <c r="AX213" s="22">
        <f t="shared" si="782"/>
        <v>0</v>
      </c>
      <c r="AY213" s="22">
        <f t="shared" si="782"/>
        <v>2470.48</v>
      </c>
      <c r="AZ213" s="22">
        <f t="shared" si="782"/>
        <v>0</v>
      </c>
      <c r="BA213" s="22">
        <f t="shared" si="782"/>
        <v>2470.48</v>
      </c>
      <c r="BB213" s="22">
        <f t="shared" si="782"/>
        <v>2512.06</v>
      </c>
      <c r="BC213" s="22">
        <f t="shared" si="782"/>
        <v>0</v>
      </c>
      <c r="BD213" s="22">
        <f t="shared" si="782"/>
        <v>-41.579999999999927</v>
      </c>
      <c r="BE213" s="22">
        <f t="shared" si="782"/>
        <v>0</v>
      </c>
      <c r="BF213" s="22">
        <f t="shared" si="782"/>
        <v>502.42</v>
      </c>
      <c r="BG213" s="120">
        <f t="shared" si="782"/>
        <v>0</v>
      </c>
      <c r="BH213" s="120">
        <f t="shared" si="782"/>
        <v>271.33999999999997</v>
      </c>
      <c r="BI213" s="120">
        <f t="shared" si="782"/>
        <v>0</v>
      </c>
      <c r="BJ213" s="120">
        <f t="shared" si="782"/>
        <v>0</v>
      </c>
      <c r="BK213" s="120">
        <f t="shared" si="782"/>
        <v>0</v>
      </c>
      <c r="BL213" s="120">
        <f t="shared" si="782"/>
        <v>2741.82</v>
      </c>
      <c r="BM213" s="120">
        <f t="shared" si="782"/>
        <v>0</v>
      </c>
      <c r="BN213" s="120">
        <f t="shared" si="782"/>
        <v>2741.82</v>
      </c>
      <c r="BO213" s="120">
        <f t="shared" si="782"/>
        <v>2603.94</v>
      </c>
      <c r="BP213" s="120">
        <f t="shared" si="782"/>
        <v>0</v>
      </c>
      <c r="BQ213" s="22">
        <f t="shared" si="782"/>
        <v>137.88000000000011</v>
      </c>
      <c r="BR213" s="22">
        <f t="shared" si="782"/>
        <v>0</v>
      </c>
      <c r="BS213" s="22">
        <f t="shared" si="782"/>
        <v>236.73000000000002</v>
      </c>
      <c r="BT213" s="22">
        <f t="shared" si="782"/>
        <v>0</v>
      </c>
      <c r="BU213" s="22">
        <f t="shared" si="782"/>
        <v>98.849999999999895</v>
      </c>
      <c r="BV213" s="22">
        <f t="shared" si="782"/>
        <v>0</v>
      </c>
      <c r="BW213" s="22">
        <f t="shared" si="782"/>
        <v>175.89</v>
      </c>
      <c r="BX213" s="22">
        <f t="shared" si="782"/>
        <v>0.45</v>
      </c>
      <c r="BY213" s="22">
        <f t="shared" si="782"/>
        <v>0</v>
      </c>
      <c r="BZ213" s="22">
        <f t="shared" si="782"/>
        <v>0</v>
      </c>
      <c r="CA213" s="22">
        <f t="shared" si="782"/>
        <v>3016.56</v>
      </c>
      <c r="CB213" s="22">
        <f t="shared" si="782"/>
        <v>0.45</v>
      </c>
    </row>
    <row r="214" spans="1:80" ht="36" x14ac:dyDescent="0.3">
      <c r="A214" s="18">
        <v>23</v>
      </c>
      <c r="B214" s="18" t="s">
        <v>347</v>
      </c>
      <c r="C214" s="19" t="s">
        <v>208</v>
      </c>
      <c r="D214" s="20" t="s">
        <v>584</v>
      </c>
      <c r="E214" s="21" t="s">
        <v>348</v>
      </c>
      <c r="F214" s="82">
        <v>200.66</v>
      </c>
      <c r="G214" s="82">
        <v>0</v>
      </c>
      <c r="H214" s="82">
        <v>200.66</v>
      </c>
      <c r="I214" s="22">
        <v>0</v>
      </c>
      <c r="J214" s="89">
        <v>215</v>
      </c>
      <c r="K214" s="89">
        <v>0</v>
      </c>
      <c r="L214" s="89">
        <v>0</v>
      </c>
      <c r="M214" s="89">
        <f t="shared" ref="M214" si="783">+L214+K214+J214</f>
        <v>215</v>
      </c>
      <c r="N214" s="89">
        <v>0</v>
      </c>
      <c r="O214" s="89">
        <v>0</v>
      </c>
      <c r="P214" s="89">
        <v>0</v>
      </c>
      <c r="Q214" s="89">
        <f t="shared" ref="Q214" si="784">+P214+O214+N214</f>
        <v>0</v>
      </c>
      <c r="R214" s="89">
        <f t="shared" si="734"/>
        <v>215</v>
      </c>
      <c r="S214" s="89">
        <v>0</v>
      </c>
      <c r="V214" s="22">
        <f t="shared" ref="V214:V216" si="785">ROUND(H214*1.0583,2)</f>
        <v>212.36</v>
      </c>
      <c r="W214" s="89">
        <f t="shared" ref="W214:W216" si="786">ROUND(I214*1.0327,2)</f>
        <v>0</v>
      </c>
      <c r="X214" s="89">
        <f t="shared" si="709"/>
        <v>2.6399999999999864</v>
      </c>
      <c r="Y214" s="89">
        <f t="shared" si="710"/>
        <v>0</v>
      </c>
      <c r="Z214" s="89">
        <v>212.36</v>
      </c>
      <c r="AA214" s="89"/>
      <c r="AB214" s="89">
        <f t="shared" si="711"/>
        <v>212.36</v>
      </c>
      <c r="AC214" s="111">
        <f t="shared" si="712"/>
        <v>0</v>
      </c>
      <c r="AD214" s="89">
        <f t="shared" ref="AD214:AD215" si="787">IF(X214&gt;0,V214,R214)</f>
        <v>212.36</v>
      </c>
      <c r="AE214" s="89">
        <f t="shared" ref="AE214:AE215" si="788">IF(Y214&gt;0,W214,S214)</f>
        <v>0</v>
      </c>
      <c r="AF214" s="89">
        <f t="shared" si="713"/>
        <v>0</v>
      </c>
      <c r="AG214" s="110">
        <f t="shared" si="714"/>
        <v>53</v>
      </c>
      <c r="AH214" s="110">
        <f t="shared" si="715"/>
        <v>0</v>
      </c>
      <c r="AI214" s="129">
        <f t="shared" si="716"/>
        <v>18</v>
      </c>
      <c r="AJ214" s="110">
        <f t="shared" si="717"/>
        <v>0</v>
      </c>
      <c r="AM214" s="110">
        <f t="shared" si="718"/>
        <v>53.09</v>
      </c>
      <c r="AN214" s="110">
        <f t="shared" si="719"/>
        <v>0</v>
      </c>
      <c r="AQ214" s="110">
        <f t="shared" si="720"/>
        <v>106.09</v>
      </c>
      <c r="AR214" s="110">
        <f t="shared" si="721"/>
        <v>0</v>
      </c>
      <c r="AU214" s="110">
        <f t="shared" si="583"/>
        <v>53.09</v>
      </c>
      <c r="AV214" s="110">
        <f t="shared" si="765"/>
        <v>0</v>
      </c>
      <c r="AY214" s="110">
        <f t="shared" si="699"/>
        <v>177.18</v>
      </c>
      <c r="AZ214" s="110">
        <f t="shared" si="700"/>
        <v>0</v>
      </c>
      <c r="BA214" s="110">
        <f t="shared" si="701"/>
        <v>177.18</v>
      </c>
      <c r="BB214" s="142">
        <v>167.78</v>
      </c>
      <c r="BD214" s="142">
        <f t="shared" si="702"/>
        <v>9.4000000000000057</v>
      </c>
      <c r="BE214" s="142">
        <f t="shared" si="703"/>
        <v>0</v>
      </c>
      <c r="BF214" s="142">
        <f t="shared" si="704"/>
        <v>33.56</v>
      </c>
      <c r="BG214" s="142">
        <f t="shared" si="705"/>
        <v>0</v>
      </c>
      <c r="BH214" s="110">
        <v>12.08</v>
      </c>
      <c r="BI214" s="110">
        <v>0</v>
      </c>
      <c r="BL214" s="110">
        <f t="shared" si="736"/>
        <v>189.26000000000002</v>
      </c>
      <c r="BM214" s="110">
        <f t="shared" si="737"/>
        <v>0</v>
      </c>
      <c r="BN214" s="110">
        <f t="shared" si="738"/>
        <v>189.26000000000002</v>
      </c>
      <c r="BO214" s="110">
        <v>185.29</v>
      </c>
      <c r="BP214" s="129"/>
      <c r="BQ214" s="110">
        <f t="shared" si="739"/>
        <v>3.9700000000000273</v>
      </c>
      <c r="BR214" s="110">
        <f t="shared" si="740"/>
        <v>0</v>
      </c>
      <c r="BS214" s="110">
        <f t="shared" si="741"/>
        <v>16.84</v>
      </c>
      <c r="BT214" s="110">
        <f t="shared" si="742"/>
        <v>0</v>
      </c>
      <c r="BU214" s="146">
        <v>29.17</v>
      </c>
      <c r="BV214" s="110">
        <v>0</v>
      </c>
      <c r="CA214" s="110">
        <f t="shared" si="743"/>
        <v>218.43</v>
      </c>
      <c r="CB214" s="110">
        <f t="shared" si="744"/>
        <v>0</v>
      </c>
    </row>
    <row r="215" spans="1:80" ht="18" x14ac:dyDescent="0.3">
      <c r="A215" s="13">
        <v>24</v>
      </c>
      <c r="B215" s="13"/>
      <c r="C215" s="14"/>
      <c r="D215" s="15" t="s">
        <v>349</v>
      </c>
      <c r="E215" s="16"/>
      <c r="F215" s="82">
        <v>759.22</v>
      </c>
      <c r="G215" s="82">
        <v>65.33</v>
      </c>
      <c r="H215" s="82">
        <v>759.22</v>
      </c>
      <c r="I215" s="17">
        <v>65.33</v>
      </c>
      <c r="J215" s="87">
        <v>844.89</v>
      </c>
      <c r="K215" s="88">
        <v>0</v>
      </c>
      <c r="L215" s="88">
        <v>0</v>
      </c>
      <c r="M215" s="88">
        <f t="shared" ref="M215:M216" si="789">J215+K215+L215</f>
        <v>844.89</v>
      </c>
      <c r="N215" s="88">
        <v>0</v>
      </c>
      <c r="O215" s="88">
        <v>0</v>
      </c>
      <c r="P215" s="88">
        <v>0</v>
      </c>
      <c r="Q215" s="88">
        <f t="shared" ref="Q215:Q216" si="790">N215+O215+P215</f>
        <v>0</v>
      </c>
      <c r="R215" s="88">
        <f t="shared" si="734"/>
        <v>844.89</v>
      </c>
      <c r="S215" s="88">
        <v>60</v>
      </c>
      <c r="V215" s="17">
        <f t="shared" si="785"/>
        <v>803.48</v>
      </c>
      <c r="W215" s="17">
        <f t="shared" si="786"/>
        <v>67.47</v>
      </c>
      <c r="X215" s="110">
        <f t="shared" si="709"/>
        <v>41.409999999999968</v>
      </c>
      <c r="Y215" s="110">
        <f t="shared" si="710"/>
        <v>-7.4699999999999989</v>
      </c>
      <c r="Z215" s="110">
        <v>803.48</v>
      </c>
      <c r="AA215" s="110"/>
      <c r="AB215" s="110">
        <f t="shared" si="711"/>
        <v>803.48</v>
      </c>
      <c r="AC215" s="111">
        <f t="shared" si="712"/>
        <v>0</v>
      </c>
      <c r="AD215" s="110">
        <f t="shared" si="787"/>
        <v>803.48</v>
      </c>
      <c r="AE215" s="110">
        <f t="shared" si="788"/>
        <v>60</v>
      </c>
      <c r="AF215" s="110">
        <f t="shared" si="713"/>
        <v>54.13</v>
      </c>
      <c r="AG215" s="110">
        <f t="shared" si="714"/>
        <v>201</v>
      </c>
      <c r="AH215" s="110">
        <f t="shared" si="715"/>
        <v>15</v>
      </c>
      <c r="AI215" s="129">
        <f t="shared" si="716"/>
        <v>67</v>
      </c>
      <c r="AJ215" s="110">
        <f t="shared" si="717"/>
        <v>5</v>
      </c>
      <c r="AM215" s="110">
        <f t="shared" si="718"/>
        <v>200.87</v>
      </c>
      <c r="AN215" s="110">
        <f t="shared" si="719"/>
        <v>14.61</v>
      </c>
      <c r="AQ215" s="110">
        <f t="shared" si="720"/>
        <v>401.87</v>
      </c>
      <c r="AR215" s="110">
        <f t="shared" si="721"/>
        <v>29.61</v>
      </c>
      <c r="AU215" s="110">
        <f t="shared" si="583"/>
        <v>200.87</v>
      </c>
      <c r="AV215" s="110">
        <f t="shared" si="765"/>
        <v>15</v>
      </c>
      <c r="AY215" s="110">
        <f t="shared" si="699"/>
        <v>669.74</v>
      </c>
      <c r="AZ215" s="110">
        <f t="shared" si="700"/>
        <v>49.61</v>
      </c>
      <c r="BA215" s="110">
        <f t="shared" si="701"/>
        <v>719.35</v>
      </c>
      <c r="BB215" s="142">
        <v>688.98</v>
      </c>
      <c r="BC215" s="142">
        <v>45.96</v>
      </c>
      <c r="BD215" s="142">
        <f t="shared" si="702"/>
        <v>-19.240000000000009</v>
      </c>
      <c r="BE215" s="142">
        <f t="shared" si="703"/>
        <v>3.6499999999999986</v>
      </c>
      <c r="BF215" s="142">
        <f t="shared" si="704"/>
        <v>137.80000000000001</v>
      </c>
      <c r="BG215" s="142">
        <f t="shared" si="705"/>
        <v>9.19</v>
      </c>
      <c r="BH215" s="146">
        <v>91.13</v>
      </c>
      <c r="BI215" s="110">
        <v>2.77</v>
      </c>
      <c r="BL215" s="110">
        <f t="shared" si="736"/>
        <v>760.87</v>
      </c>
      <c r="BM215" s="110">
        <f t="shared" si="737"/>
        <v>52.38</v>
      </c>
      <c r="BN215" s="110">
        <f t="shared" si="738"/>
        <v>813.25</v>
      </c>
      <c r="BO215" s="110">
        <v>757.62</v>
      </c>
      <c r="BP215" s="129">
        <v>45.96</v>
      </c>
      <c r="BQ215" s="110">
        <f t="shared" si="739"/>
        <v>3.25</v>
      </c>
      <c r="BR215" s="110">
        <f t="shared" si="740"/>
        <v>6.4200000000000017</v>
      </c>
      <c r="BS215" s="110">
        <f t="shared" si="741"/>
        <v>68.87</v>
      </c>
      <c r="BT215" s="110">
        <f t="shared" si="742"/>
        <v>4.18</v>
      </c>
      <c r="BU215" s="146">
        <f>BS215-BQ215+15.51</f>
        <v>81.13000000000001</v>
      </c>
      <c r="BV215" s="146">
        <v>0</v>
      </c>
      <c r="BW215" s="146"/>
      <c r="BX215" s="146"/>
      <c r="BY215" s="146">
        <v>3.64</v>
      </c>
      <c r="BZ215" s="146"/>
      <c r="CA215" s="110">
        <f t="shared" si="743"/>
        <v>842</v>
      </c>
      <c r="CB215" s="110">
        <f>+BM215+BV215+BX215-BY215</f>
        <v>48.74</v>
      </c>
    </row>
    <row r="216" spans="1:80" ht="18" x14ac:dyDescent="0.3">
      <c r="A216" s="13">
        <v>25</v>
      </c>
      <c r="B216" s="13"/>
      <c r="C216" s="14"/>
      <c r="D216" s="15" t="s">
        <v>350</v>
      </c>
      <c r="E216" s="16"/>
      <c r="F216" s="82">
        <v>559.93000000000006</v>
      </c>
      <c r="G216" s="82">
        <v>0</v>
      </c>
      <c r="H216" s="82">
        <v>637.96</v>
      </c>
      <c r="I216" s="17">
        <v>0</v>
      </c>
      <c r="J216" s="87">
        <v>732.17</v>
      </c>
      <c r="K216" s="88">
        <v>0</v>
      </c>
      <c r="L216" s="88">
        <v>0</v>
      </c>
      <c r="M216" s="88">
        <f t="shared" si="789"/>
        <v>732.17</v>
      </c>
      <c r="N216" s="88">
        <v>0</v>
      </c>
      <c r="O216" s="88">
        <v>0</v>
      </c>
      <c r="P216" s="88">
        <v>0</v>
      </c>
      <c r="Q216" s="88">
        <f t="shared" si="790"/>
        <v>0</v>
      </c>
      <c r="R216" s="88">
        <f t="shared" si="734"/>
        <v>732.17</v>
      </c>
      <c r="S216" s="88">
        <v>0</v>
      </c>
      <c r="V216" s="17">
        <f t="shared" si="785"/>
        <v>675.15</v>
      </c>
      <c r="W216" s="17">
        <f t="shared" si="786"/>
        <v>0</v>
      </c>
      <c r="X216" s="110">
        <f t="shared" si="709"/>
        <v>57.019999999999982</v>
      </c>
      <c r="Y216" s="110">
        <f t="shared" si="710"/>
        <v>0</v>
      </c>
      <c r="Z216" s="110">
        <v>675.15</v>
      </c>
      <c r="AA216" s="110"/>
      <c r="AB216" s="110">
        <f t="shared" si="711"/>
        <v>675.15</v>
      </c>
      <c r="AC216" s="111">
        <f t="shared" si="712"/>
        <v>0</v>
      </c>
      <c r="AD216" s="110">
        <f t="shared" ref="AD216" si="791">IF(X216&gt;0,V216,R216)</f>
        <v>675.15</v>
      </c>
      <c r="AE216" s="110">
        <f t="shared" ref="AE216" si="792">IF(Y216&gt;0,W216,S216)</f>
        <v>0</v>
      </c>
      <c r="AF216" s="110">
        <f t="shared" si="713"/>
        <v>0</v>
      </c>
      <c r="AG216" s="110">
        <f t="shared" si="714"/>
        <v>169</v>
      </c>
      <c r="AH216" s="110">
        <f t="shared" si="715"/>
        <v>0</v>
      </c>
      <c r="AI216" s="129">
        <f t="shared" si="716"/>
        <v>56</v>
      </c>
      <c r="AJ216" s="110">
        <f t="shared" si="717"/>
        <v>0</v>
      </c>
      <c r="AM216" s="110">
        <f t="shared" si="718"/>
        <v>168.79</v>
      </c>
      <c r="AN216" s="110">
        <f t="shared" si="719"/>
        <v>0</v>
      </c>
      <c r="AQ216" s="110">
        <f t="shared" si="720"/>
        <v>337.78999999999996</v>
      </c>
      <c r="AR216" s="110">
        <f t="shared" si="721"/>
        <v>0</v>
      </c>
      <c r="AU216" s="110">
        <f t="shared" si="583"/>
        <v>168.79</v>
      </c>
      <c r="AV216" s="110">
        <f t="shared" si="765"/>
        <v>0</v>
      </c>
      <c r="AY216" s="110">
        <f t="shared" si="699"/>
        <v>562.57999999999993</v>
      </c>
      <c r="AZ216" s="110">
        <f t="shared" si="700"/>
        <v>0</v>
      </c>
      <c r="BA216" s="110">
        <f t="shared" si="701"/>
        <v>562.57999999999993</v>
      </c>
      <c r="BB216" s="142">
        <v>555.35</v>
      </c>
      <c r="BD216" s="142">
        <f t="shared" si="702"/>
        <v>7.2299999999999045</v>
      </c>
      <c r="BE216" s="142">
        <f t="shared" si="703"/>
        <v>0</v>
      </c>
      <c r="BF216" s="142">
        <f t="shared" si="704"/>
        <v>111.07</v>
      </c>
      <c r="BG216" s="142">
        <f t="shared" si="705"/>
        <v>0</v>
      </c>
      <c r="BH216" s="110">
        <v>51.92</v>
      </c>
      <c r="BI216" s="110">
        <v>0</v>
      </c>
      <c r="BL216" s="110">
        <f t="shared" si="736"/>
        <v>614.49999999999989</v>
      </c>
      <c r="BM216" s="110">
        <f t="shared" si="737"/>
        <v>0</v>
      </c>
      <c r="BN216" s="110">
        <f t="shared" si="738"/>
        <v>614.49999999999989</v>
      </c>
      <c r="BO216" s="110">
        <v>613.58000000000004</v>
      </c>
      <c r="BP216" s="129"/>
      <c r="BQ216" s="110">
        <f t="shared" si="739"/>
        <v>0.91999999999984539</v>
      </c>
      <c r="BR216" s="110">
        <f t="shared" si="740"/>
        <v>0</v>
      </c>
      <c r="BS216" s="110">
        <f t="shared" si="741"/>
        <v>55.78</v>
      </c>
      <c r="BT216" s="110">
        <f t="shared" si="742"/>
        <v>0</v>
      </c>
      <c r="BU216" s="146">
        <v>39.35</v>
      </c>
      <c r="BV216" s="146">
        <f t="shared" ref="BV216" si="793">BT216-BR216</f>
        <v>0</v>
      </c>
      <c r="BW216" s="146"/>
      <c r="BX216" s="146"/>
      <c r="BY216" s="146"/>
      <c r="BZ216" s="146"/>
      <c r="CA216" s="110">
        <f t="shared" si="743"/>
        <v>653.84999999999991</v>
      </c>
      <c r="CB216" s="110">
        <f t="shared" si="744"/>
        <v>0</v>
      </c>
    </row>
    <row r="217" spans="1:80" ht="18" x14ac:dyDescent="0.3">
      <c r="A217" s="18"/>
      <c r="B217" s="18" t="s">
        <v>351</v>
      </c>
      <c r="C217" s="19" t="s">
        <v>94</v>
      </c>
      <c r="D217" s="20" t="s">
        <v>349</v>
      </c>
      <c r="E217" s="21" t="s">
        <v>352</v>
      </c>
      <c r="F217" s="22">
        <v>1319.15</v>
      </c>
      <c r="G217" s="22">
        <v>65.33</v>
      </c>
      <c r="H217" s="22">
        <v>1397.18</v>
      </c>
      <c r="I217" s="22">
        <v>65.33</v>
      </c>
      <c r="J217" s="89">
        <f t="shared" ref="J217:AA217" si="794">+J215+J216</f>
        <v>1577.06</v>
      </c>
      <c r="K217" s="89">
        <f t="shared" si="794"/>
        <v>0</v>
      </c>
      <c r="L217" s="89">
        <f t="shared" si="794"/>
        <v>0</v>
      </c>
      <c r="M217" s="89">
        <f t="shared" si="794"/>
        <v>1577.06</v>
      </c>
      <c r="N217" s="89">
        <f t="shared" si="794"/>
        <v>0</v>
      </c>
      <c r="O217" s="89">
        <f t="shared" si="794"/>
        <v>0</v>
      </c>
      <c r="P217" s="89">
        <f t="shared" si="794"/>
        <v>0</v>
      </c>
      <c r="Q217" s="89">
        <f t="shared" si="794"/>
        <v>0</v>
      </c>
      <c r="R217" s="89">
        <f t="shared" si="794"/>
        <v>1577.06</v>
      </c>
      <c r="S217" s="89">
        <f t="shared" si="794"/>
        <v>60</v>
      </c>
      <c r="T217" s="89">
        <f t="shared" si="794"/>
        <v>0</v>
      </c>
      <c r="U217" s="89">
        <f t="shared" si="794"/>
        <v>0</v>
      </c>
      <c r="V217" s="89">
        <f t="shared" si="794"/>
        <v>1478.63</v>
      </c>
      <c r="W217" s="89">
        <f t="shared" si="794"/>
        <v>67.47</v>
      </c>
      <c r="X217" s="89">
        <f t="shared" si="794"/>
        <v>98.42999999999995</v>
      </c>
      <c r="Y217" s="89">
        <f t="shared" si="794"/>
        <v>-7.4699999999999989</v>
      </c>
      <c r="Z217" s="89">
        <f t="shared" si="794"/>
        <v>1478.63</v>
      </c>
      <c r="AA217" s="89">
        <f t="shared" si="794"/>
        <v>0</v>
      </c>
      <c r="AB217" s="22">
        <f t="shared" si="711"/>
        <v>1478.63</v>
      </c>
      <c r="AC217" s="111">
        <f t="shared" si="712"/>
        <v>0</v>
      </c>
      <c r="AD217" s="22">
        <f t="shared" ref="AD217:CB217" si="795">+AD215+AD216</f>
        <v>1478.63</v>
      </c>
      <c r="AE217" s="22">
        <f t="shared" si="795"/>
        <v>60</v>
      </c>
      <c r="AF217" s="22">
        <f t="shared" si="795"/>
        <v>54.13</v>
      </c>
      <c r="AG217" s="22">
        <f t="shared" si="795"/>
        <v>370</v>
      </c>
      <c r="AH217" s="22">
        <f t="shared" si="795"/>
        <v>15</v>
      </c>
      <c r="AI217" s="120">
        <f t="shared" si="795"/>
        <v>123</v>
      </c>
      <c r="AJ217" s="22">
        <f t="shared" si="795"/>
        <v>5</v>
      </c>
      <c r="AK217" s="22">
        <f t="shared" si="795"/>
        <v>0</v>
      </c>
      <c r="AL217" s="22">
        <f t="shared" si="795"/>
        <v>0</v>
      </c>
      <c r="AM217" s="22">
        <f t="shared" si="795"/>
        <v>369.65999999999997</v>
      </c>
      <c r="AN217" s="22">
        <f t="shared" si="795"/>
        <v>14.61</v>
      </c>
      <c r="AO217" s="22">
        <f t="shared" si="795"/>
        <v>0</v>
      </c>
      <c r="AP217" s="22">
        <f t="shared" si="795"/>
        <v>0</v>
      </c>
      <c r="AQ217" s="22">
        <f t="shared" si="795"/>
        <v>739.66</v>
      </c>
      <c r="AR217" s="22">
        <f t="shared" si="795"/>
        <v>29.61</v>
      </c>
      <c r="AS217" s="22">
        <f t="shared" si="795"/>
        <v>0</v>
      </c>
      <c r="AT217" s="22">
        <f t="shared" si="795"/>
        <v>0</v>
      </c>
      <c r="AU217" s="22">
        <f t="shared" si="795"/>
        <v>369.65999999999997</v>
      </c>
      <c r="AV217" s="22">
        <f t="shared" si="795"/>
        <v>15</v>
      </c>
      <c r="AW217" s="22">
        <f t="shared" si="795"/>
        <v>0</v>
      </c>
      <c r="AX217" s="22">
        <f t="shared" si="795"/>
        <v>0</v>
      </c>
      <c r="AY217" s="22">
        <f t="shared" si="795"/>
        <v>1232.32</v>
      </c>
      <c r="AZ217" s="22">
        <f t="shared" si="795"/>
        <v>49.61</v>
      </c>
      <c r="BA217" s="22">
        <f t="shared" si="795"/>
        <v>1281.9299999999998</v>
      </c>
      <c r="BB217" s="22">
        <f t="shared" si="795"/>
        <v>1244.33</v>
      </c>
      <c r="BC217" s="22">
        <f t="shared" si="795"/>
        <v>45.96</v>
      </c>
      <c r="BD217" s="22">
        <f t="shared" si="795"/>
        <v>-12.010000000000105</v>
      </c>
      <c r="BE217" s="22">
        <f t="shared" si="795"/>
        <v>3.6499999999999986</v>
      </c>
      <c r="BF217" s="22">
        <f t="shared" si="795"/>
        <v>248.87</v>
      </c>
      <c r="BG217" s="120">
        <f t="shared" si="795"/>
        <v>9.19</v>
      </c>
      <c r="BH217" s="120">
        <f t="shared" si="795"/>
        <v>143.05000000000001</v>
      </c>
      <c r="BI217" s="120">
        <f t="shared" si="795"/>
        <v>2.77</v>
      </c>
      <c r="BJ217" s="120">
        <f t="shared" si="795"/>
        <v>0</v>
      </c>
      <c r="BK217" s="120">
        <f t="shared" si="795"/>
        <v>0</v>
      </c>
      <c r="BL217" s="120">
        <f t="shared" si="795"/>
        <v>1375.37</v>
      </c>
      <c r="BM217" s="120">
        <f t="shared" si="795"/>
        <v>52.38</v>
      </c>
      <c r="BN217" s="120">
        <f t="shared" si="795"/>
        <v>1427.75</v>
      </c>
      <c r="BO217" s="120">
        <f t="shared" si="795"/>
        <v>1371.2</v>
      </c>
      <c r="BP217" s="120">
        <f t="shared" si="795"/>
        <v>45.96</v>
      </c>
      <c r="BQ217" s="22">
        <f t="shared" si="795"/>
        <v>4.1699999999998454</v>
      </c>
      <c r="BR217" s="22">
        <f t="shared" si="795"/>
        <v>6.4200000000000017</v>
      </c>
      <c r="BS217" s="22">
        <f t="shared" si="795"/>
        <v>124.65</v>
      </c>
      <c r="BT217" s="22">
        <f t="shared" si="795"/>
        <v>4.18</v>
      </c>
      <c r="BU217" s="22">
        <f t="shared" si="795"/>
        <v>120.48000000000002</v>
      </c>
      <c r="BV217" s="22">
        <f t="shared" si="795"/>
        <v>0</v>
      </c>
      <c r="BW217" s="22">
        <f t="shared" si="795"/>
        <v>0</v>
      </c>
      <c r="BX217" s="22">
        <f t="shared" si="795"/>
        <v>0</v>
      </c>
      <c r="BY217" s="22">
        <f t="shared" si="795"/>
        <v>3.64</v>
      </c>
      <c r="BZ217" s="22">
        <f t="shared" si="795"/>
        <v>0</v>
      </c>
      <c r="CA217" s="22">
        <f t="shared" si="795"/>
        <v>1495.85</v>
      </c>
      <c r="CB217" s="22">
        <f t="shared" si="795"/>
        <v>48.74</v>
      </c>
    </row>
    <row r="218" spans="1:80" ht="18" x14ac:dyDescent="0.3">
      <c r="A218" s="44">
        <v>26</v>
      </c>
      <c r="B218" s="44"/>
      <c r="C218" s="45"/>
      <c r="D218" s="122" t="s">
        <v>353</v>
      </c>
      <c r="E218" s="16"/>
      <c r="F218" s="82">
        <v>1327.41</v>
      </c>
      <c r="G218" s="82">
        <v>209.87000000000003</v>
      </c>
      <c r="H218" s="82">
        <v>1356</v>
      </c>
      <c r="I218" s="58">
        <v>264.87</v>
      </c>
      <c r="J218" s="87">
        <v>1250</v>
      </c>
      <c r="K218" s="91">
        <v>85</v>
      </c>
      <c r="L218" s="91">
        <v>0</v>
      </c>
      <c r="M218" s="88">
        <f t="shared" ref="M218:M220" si="796">J218+K218+L218</f>
        <v>1335</v>
      </c>
      <c r="N218" s="88">
        <v>0</v>
      </c>
      <c r="O218" s="88">
        <v>0</v>
      </c>
      <c r="P218" s="88">
        <v>0</v>
      </c>
      <c r="Q218" s="88">
        <f t="shared" ref="Q218:Q220" si="797">N218+O218+P218</f>
        <v>0</v>
      </c>
      <c r="R218" s="88">
        <f t="shared" si="734"/>
        <v>1335</v>
      </c>
      <c r="S218" s="88">
        <v>350</v>
      </c>
      <c r="V218" s="17">
        <f t="shared" ref="V218" si="798">ROUND(H218*1.0583,2)</f>
        <v>1435.05</v>
      </c>
      <c r="W218" s="17">
        <f t="shared" ref="W218" si="799">ROUND(I218*1.0327,2)</f>
        <v>273.52999999999997</v>
      </c>
      <c r="X218" s="110">
        <f t="shared" si="709"/>
        <v>-100.04999999999995</v>
      </c>
      <c r="Y218" s="110">
        <f t="shared" si="710"/>
        <v>76.470000000000027</v>
      </c>
      <c r="Z218" s="110">
        <v>1335</v>
      </c>
      <c r="AA218" s="110"/>
      <c r="AB218" s="110">
        <f t="shared" si="711"/>
        <v>1335</v>
      </c>
      <c r="AC218" s="111">
        <f t="shared" si="712"/>
        <v>0</v>
      </c>
      <c r="AD218" s="110">
        <f t="shared" ref="AD218" si="800">IF(X218&gt;0,V218,R218)</f>
        <v>1335</v>
      </c>
      <c r="AE218" s="111">
        <f t="shared" ref="AE218" si="801">IF(Y218&gt;0,W218,S218)</f>
        <v>273.52999999999997</v>
      </c>
      <c r="AF218" s="110">
        <f t="shared" si="713"/>
        <v>315.77</v>
      </c>
      <c r="AG218" s="110">
        <f t="shared" si="714"/>
        <v>334</v>
      </c>
      <c r="AH218" s="110">
        <f t="shared" si="715"/>
        <v>68</v>
      </c>
      <c r="AI218" s="129">
        <f t="shared" si="716"/>
        <v>111</v>
      </c>
      <c r="AJ218" s="110">
        <f t="shared" si="717"/>
        <v>23</v>
      </c>
      <c r="AL218" s="146">
        <f>33.18+91.82</f>
        <v>125</v>
      </c>
      <c r="AM218" s="110">
        <f t="shared" si="718"/>
        <v>333.75</v>
      </c>
      <c r="AN218" s="110">
        <f>ROUND(AE218*24.35%,2)-16.6</f>
        <v>49.999999999999993</v>
      </c>
      <c r="AQ218" s="110">
        <f t="shared" si="720"/>
        <v>667.75</v>
      </c>
      <c r="AR218" s="110">
        <f t="shared" si="721"/>
        <v>243</v>
      </c>
      <c r="AS218" s="118"/>
      <c r="AT218" s="118">
        <v>62</v>
      </c>
      <c r="AU218" s="118">
        <f t="shared" si="583"/>
        <v>333.75</v>
      </c>
      <c r="AV218" s="118">
        <f t="shared" si="765"/>
        <v>68.38</v>
      </c>
      <c r="AW218" s="118"/>
      <c r="AX218" s="146">
        <v>13.62</v>
      </c>
      <c r="AY218" s="110">
        <f t="shared" si="699"/>
        <v>1112.5</v>
      </c>
      <c r="AZ218" s="110">
        <f t="shared" si="700"/>
        <v>410</v>
      </c>
      <c r="BA218" s="110">
        <f t="shared" si="701"/>
        <v>1522.5</v>
      </c>
      <c r="BB218" s="142">
        <v>1050.58</v>
      </c>
      <c r="BC218" s="142">
        <v>407.16</v>
      </c>
      <c r="BD218" s="142">
        <f t="shared" si="702"/>
        <v>61.920000000000073</v>
      </c>
      <c r="BE218" s="142">
        <f t="shared" si="703"/>
        <v>2.839999999999975</v>
      </c>
      <c r="BF218" s="142">
        <f t="shared" si="704"/>
        <v>210.12</v>
      </c>
      <c r="BG218" s="142">
        <f t="shared" si="705"/>
        <v>81.430000000000007</v>
      </c>
      <c r="BH218" s="110">
        <v>74.099999999999994</v>
      </c>
      <c r="BI218" s="110">
        <v>35</v>
      </c>
      <c r="BL218" s="110">
        <f t="shared" si="736"/>
        <v>1186.5999999999999</v>
      </c>
      <c r="BM218" s="110">
        <f t="shared" si="737"/>
        <v>445</v>
      </c>
      <c r="BN218" s="110">
        <f t="shared" si="738"/>
        <v>1631.6</v>
      </c>
      <c r="BO218" s="110">
        <v>1158.6099999999999</v>
      </c>
      <c r="BP218" s="129">
        <v>420.75</v>
      </c>
      <c r="BQ218" s="110">
        <f t="shared" si="739"/>
        <v>27.990000000000009</v>
      </c>
      <c r="BR218" s="110">
        <f t="shared" si="740"/>
        <v>24.25</v>
      </c>
      <c r="BS218" s="110">
        <f t="shared" si="741"/>
        <v>105.33</v>
      </c>
      <c r="BT218" s="110">
        <f t="shared" si="742"/>
        <v>38.25</v>
      </c>
      <c r="BU218" s="110">
        <f t="shared" ref="BU218:BU219" si="802">ROUND(BS218-BQ218,2)</f>
        <v>77.34</v>
      </c>
      <c r="BV218" s="110">
        <f>ROUND(BT218-BR218,2)</f>
        <v>14</v>
      </c>
      <c r="BW218" s="110">
        <f>13.79+4</f>
        <v>17.79</v>
      </c>
      <c r="CA218" s="110">
        <f t="shared" si="743"/>
        <v>1281.7299999999998</v>
      </c>
      <c r="CB218" s="110">
        <f t="shared" si="744"/>
        <v>459</v>
      </c>
    </row>
    <row r="219" spans="1:80" ht="36" x14ac:dyDescent="0.3">
      <c r="A219" s="13">
        <v>27</v>
      </c>
      <c r="B219" s="13"/>
      <c r="C219" s="14"/>
      <c r="D219" s="15" t="s">
        <v>354</v>
      </c>
      <c r="E219" s="16"/>
      <c r="F219" s="82">
        <v>1689.9</v>
      </c>
      <c r="G219" s="82">
        <v>0</v>
      </c>
      <c r="H219" s="82">
        <v>1796.96</v>
      </c>
      <c r="I219" s="17">
        <v>0</v>
      </c>
      <c r="J219" s="87">
        <v>1953.47</v>
      </c>
      <c r="K219" s="91">
        <v>0</v>
      </c>
      <c r="L219" s="91">
        <v>0</v>
      </c>
      <c r="M219" s="88">
        <f t="shared" si="796"/>
        <v>1953.47</v>
      </c>
      <c r="N219" s="88">
        <v>0</v>
      </c>
      <c r="O219" s="88">
        <v>0</v>
      </c>
      <c r="P219" s="88">
        <v>0</v>
      </c>
      <c r="Q219" s="88">
        <f t="shared" si="797"/>
        <v>0</v>
      </c>
      <c r="R219" s="88">
        <f t="shared" si="734"/>
        <v>1953.47</v>
      </c>
      <c r="S219" s="88">
        <v>0</v>
      </c>
      <c r="V219" s="17">
        <f t="shared" ref="V219:V220" si="803">ROUND(H219*1.0583,2)</f>
        <v>1901.72</v>
      </c>
      <c r="W219" s="17">
        <f t="shared" ref="W219:W220" si="804">ROUND(I219*1.0327,2)</f>
        <v>0</v>
      </c>
      <c r="X219" s="110">
        <f t="shared" si="709"/>
        <v>51.75</v>
      </c>
      <c r="Y219" s="110">
        <f t="shared" si="710"/>
        <v>0</v>
      </c>
      <c r="Z219" s="110">
        <v>1901.72</v>
      </c>
      <c r="AA219" s="110"/>
      <c r="AB219" s="110">
        <f t="shared" si="711"/>
        <v>1901.72</v>
      </c>
      <c r="AC219" s="111">
        <f t="shared" si="712"/>
        <v>0</v>
      </c>
      <c r="AD219" s="110">
        <f t="shared" ref="AD219:AD220" si="805">IF(X219&gt;0,V219,R219)</f>
        <v>1901.72</v>
      </c>
      <c r="AE219" s="110">
        <f t="shared" ref="AE219:AE220" si="806">IF(Y219&gt;0,W219,S219)</f>
        <v>0</v>
      </c>
      <c r="AF219" s="110">
        <f t="shared" si="713"/>
        <v>0</v>
      </c>
      <c r="AG219" s="110">
        <f t="shared" si="714"/>
        <v>475</v>
      </c>
      <c r="AH219" s="110">
        <f t="shared" si="715"/>
        <v>0</v>
      </c>
      <c r="AI219" s="129">
        <f t="shared" si="716"/>
        <v>158</v>
      </c>
      <c r="AJ219" s="110">
        <f t="shared" si="717"/>
        <v>0</v>
      </c>
      <c r="AM219" s="110">
        <f t="shared" si="718"/>
        <v>475.43</v>
      </c>
      <c r="AN219" s="110">
        <f t="shared" si="719"/>
        <v>0</v>
      </c>
      <c r="AQ219" s="110">
        <f t="shared" si="720"/>
        <v>950.43000000000006</v>
      </c>
      <c r="AR219" s="110">
        <f t="shared" si="721"/>
        <v>0</v>
      </c>
      <c r="AU219" s="110">
        <f t="shared" ref="AU219:AU282" si="807">ROUND(AD219*25%,2)</f>
        <v>475.43</v>
      </c>
      <c r="AV219" s="110">
        <f t="shared" si="765"/>
        <v>0</v>
      </c>
      <c r="AY219" s="110">
        <f t="shared" si="699"/>
        <v>1583.8600000000001</v>
      </c>
      <c r="AZ219" s="110">
        <f t="shared" si="700"/>
        <v>0</v>
      </c>
      <c r="BA219" s="110">
        <f t="shared" si="701"/>
        <v>1583.8600000000001</v>
      </c>
      <c r="BB219" s="142">
        <v>1583.86</v>
      </c>
      <c r="BD219" s="142">
        <f t="shared" si="702"/>
        <v>0</v>
      </c>
      <c r="BE219" s="142">
        <f t="shared" si="703"/>
        <v>0</v>
      </c>
      <c r="BF219" s="142">
        <f t="shared" si="704"/>
        <v>316.77</v>
      </c>
      <c r="BG219" s="142">
        <f t="shared" si="705"/>
        <v>0</v>
      </c>
      <c r="BH219" s="110">
        <v>158.38999999999999</v>
      </c>
      <c r="BI219" s="110">
        <v>0</v>
      </c>
      <c r="BL219" s="110">
        <f t="shared" si="736"/>
        <v>1742.25</v>
      </c>
      <c r="BM219" s="110">
        <f t="shared" si="737"/>
        <v>0</v>
      </c>
      <c r="BN219" s="110">
        <f t="shared" si="738"/>
        <v>1742.25</v>
      </c>
      <c r="BO219" s="110">
        <v>1583.86</v>
      </c>
      <c r="BP219" s="129"/>
      <c r="BQ219" s="110">
        <f t="shared" si="739"/>
        <v>158.3900000000001</v>
      </c>
      <c r="BR219" s="110">
        <f t="shared" si="740"/>
        <v>0</v>
      </c>
      <c r="BS219" s="110">
        <f t="shared" si="741"/>
        <v>143.99</v>
      </c>
      <c r="BT219" s="110">
        <f t="shared" si="742"/>
        <v>0</v>
      </c>
      <c r="BU219" s="110">
        <f t="shared" si="802"/>
        <v>-14.4</v>
      </c>
      <c r="BV219" s="110">
        <f t="shared" ref="BV219:BV220" si="808">ROUND(BT219-BR219,2)</f>
        <v>0</v>
      </c>
      <c r="BW219" s="111">
        <f>388.88+14.4</f>
        <v>403.28</v>
      </c>
      <c r="CA219" s="110">
        <f t="shared" si="743"/>
        <v>2131.13</v>
      </c>
      <c r="CB219" s="110">
        <f t="shared" si="744"/>
        <v>0</v>
      </c>
    </row>
    <row r="220" spans="1:80" ht="36" x14ac:dyDescent="0.3">
      <c r="A220" s="13">
        <v>28</v>
      </c>
      <c r="B220" s="13"/>
      <c r="C220" s="14"/>
      <c r="D220" s="15" t="s">
        <v>355</v>
      </c>
      <c r="E220" s="16"/>
      <c r="F220" s="82">
        <v>0</v>
      </c>
      <c r="G220" s="82">
        <v>0</v>
      </c>
      <c r="H220" s="82">
        <v>121.41</v>
      </c>
      <c r="I220" s="17">
        <v>0</v>
      </c>
      <c r="J220" s="87">
        <v>0</v>
      </c>
      <c r="K220" s="91">
        <v>0</v>
      </c>
      <c r="L220" s="91">
        <v>0</v>
      </c>
      <c r="M220" s="88">
        <f t="shared" si="796"/>
        <v>0</v>
      </c>
      <c r="N220" s="88">
        <v>0</v>
      </c>
      <c r="O220" s="88">
        <v>0</v>
      </c>
      <c r="P220" s="88">
        <v>0</v>
      </c>
      <c r="Q220" s="88">
        <f t="shared" si="797"/>
        <v>0</v>
      </c>
      <c r="R220" s="88">
        <f t="shared" si="734"/>
        <v>0</v>
      </c>
      <c r="S220" s="88">
        <v>0</v>
      </c>
      <c r="V220" s="17">
        <f t="shared" si="803"/>
        <v>128.49</v>
      </c>
      <c r="W220" s="17">
        <f t="shared" si="804"/>
        <v>0</v>
      </c>
      <c r="X220" s="110">
        <f t="shared" si="709"/>
        <v>-128.49</v>
      </c>
      <c r="Y220" s="110">
        <f t="shared" si="710"/>
        <v>0</v>
      </c>
      <c r="Z220" s="110">
        <v>0</v>
      </c>
      <c r="AA220" s="110"/>
      <c r="AB220" s="110">
        <f t="shared" si="711"/>
        <v>0</v>
      </c>
      <c r="AC220" s="111">
        <f t="shared" si="712"/>
        <v>0</v>
      </c>
      <c r="AD220" s="110">
        <f t="shared" si="805"/>
        <v>0</v>
      </c>
      <c r="AE220" s="110">
        <f t="shared" si="806"/>
        <v>0</v>
      </c>
      <c r="AF220" s="110">
        <f t="shared" si="713"/>
        <v>0</v>
      </c>
      <c r="AG220" s="110">
        <f t="shared" si="714"/>
        <v>0</v>
      </c>
      <c r="AH220" s="110">
        <f t="shared" si="715"/>
        <v>0</v>
      </c>
      <c r="AI220" s="129">
        <f t="shared" si="716"/>
        <v>0</v>
      </c>
      <c r="AJ220" s="110">
        <f t="shared" si="717"/>
        <v>0</v>
      </c>
      <c r="AM220" s="110">
        <f t="shared" si="718"/>
        <v>0</v>
      </c>
      <c r="AN220" s="110">
        <f t="shared" si="719"/>
        <v>0</v>
      </c>
      <c r="AQ220" s="110">
        <f t="shared" si="720"/>
        <v>0</v>
      </c>
      <c r="AR220" s="110">
        <f t="shared" si="721"/>
        <v>0</v>
      </c>
      <c r="AU220" s="110">
        <f t="shared" si="807"/>
        <v>0</v>
      </c>
      <c r="AV220" s="110">
        <f t="shared" si="765"/>
        <v>0</v>
      </c>
      <c r="AY220" s="110">
        <f t="shared" si="699"/>
        <v>0</v>
      </c>
      <c r="AZ220" s="110">
        <f t="shared" si="700"/>
        <v>0</v>
      </c>
      <c r="BA220" s="110">
        <f t="shared" si="701"/>
        <v>0</v>
      </c>
      <c r="BB220" s="142">
        <v>0</v>
      </c>
      <c r="BD220" s="142">
        <f t="shared" si="702"/>
        <v>0</v>
      </c>
      <c r="BE220" s="142">
        <f t="shared" si="703"/>
        <v>0</v>
      </c>
      <c r="BF220" s="142">
        <f t="shared" si="704"/>
        <v>0</v>
      </c>
      <c r="BG220" s="142">
        <f t="shared" si="705"/>
        <v>0</v>
      </c>
      <c r="BH220" s="110">
        <v>0</v>
      </c>
      <c r="BI220" s="110">
        <v>0</v>
      </c>
      <c r="BL220" s="110">
        <f t="shared" si="736"/>
        <v>0</v>
      </c>
      <c r="BM220" s="110">
        <f t="shared" si="737"/>
        <v>0</v>
      </c>
      <c r="BN220" s="110">
        <f t="shared" si="738"/>
        <v>0</v>
      </c>
      <c r="BO220" s="110">
        <v>0</v>
      </c>
      <c r="BP220" s="129"/>
      <c r="BQ220" s="110">
        <f t="shared" si="739"/>
        <v>0</v>
      </c>
      <c r="BR220" s="110">
        <f t="shared" si="740"/>
        <v>0</v>
      </c>
      <c r="BS220" s="110">
        <f t="shared" si="741"/>
        <v>0</v>
      </c>
      <c r="BT220" s="110">
        <f t="shared" si="742"/>
        <v>0</v>
      </c>
      <c r="BU220" s="110">
        <f>ROUND(BS220-BQ220,2)</f>
        <v>0</v>
      </c>
      <c r="BV220" s="110">
        <f t="shared" si="808"/>
        <v>0</v>
      </c>
      <c r="CA220" s="110">
        <f t="shared" si="743"/>
        <v>0</v>
      </c>
      <c r="CB220" s="110">
        <f t="shared" si="744"/>
        <v>0</v>
      </c>
    </row>
    <row r="221" spans="1:80" ht="18" x14ac:dyDescent="0.3">
      <c r="A221" s="18"/>
      <c r="B221" s="18" t="s">
        <v>356</v>
      </c>
      <c r="C221" s="19" t="s">
        <v>45</v>
      </c>
      <c r="D221" s="20" t="s">
        <v>353</v>
      </c>
      <c r="E221" s="21" t="s">
        <v>357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9">
        <f t="shared" ref="J221:AA221" si="809">+J218+J219+J220</f>
        <v>3203.4700000000003</v>
      </c>
      <c r="K221" s="89">
        <f t="shared" si="809"/>
        <v>85</v>
      </c>
      <c r="L221" s="89">
        <f t="shared" si="809"/>
        <v>0</v>
      </c>
      <c r="M221" s="89">
        <f t="shared" si="809"/>
        <v>3288.4700000000003</v>
      </c>
      <c r="N221" s="89">
        <f t="shared" si="809"/>
        <v>0</v>
      </c>
      <c r="O221" s="89">
        <f t="shared" si="809"/>
        <v>0</v>
      </c>
      <c r="P221" s="89">
        <f t="shared" si="809"/>
        <v>0</v>
      </c>
      <c r="Q221" s="89">
        <f t="shared" si="809"/>
        <v>0</v>
      </c>
      <c r="R221" s="89">
        <f t="shared" si="809"/>
        <v>3288.4700000000003</v>
      </c>
      <c r="S221" s="89">
        <f t="shared" si="809"/>
        <v>350</v>
      </c>
      <c r="T221" s="89">
        <f t="shared" si="809"/>
        <v>0</v>
      </c>
      <c r="U221" s="89">
        <f t="shared" si="809"/>
        <v>0</v>
      </c>
      <c r="V221" s="89">
        <f t="shared" si="809"/>
        <v>3465.26</v>
      </c>
      <c r="W221" s="89">
        <f t="shared" si="809"/>
        <v>273.52999999999997</v>
      </c>
      <c r="X221" s="89">
        <f t="shared" si="809"/>
        <v>-176.78999999999996</v>
      </c>
      <c r="Y221" s="89">
        <f t="shared" si="809"/>
        <v>76.470000000000027</v>
      </c>
      <c r="Z221" s="89">
        <f t="shared" si="809"/>
        <v>3236.7200000000003</v>
      </c>
      <c r="AA221" s="89">
        <f t="shared" si="809"/>
        <v>0</v>
      </c>
      <c r="AB221" s="22">
        <f t="shared" si="711"/>
        <v>3236.7200000000003</v>
      </c>
      <c r="AC221" s="111">
        <f t="shared" si="712"/>
        <v>0</v>
      </c>
      <c r="AD221" s="22">
        <f t="shared" ref="AD221:CB221" si="810">+AD218+AD219+AD220</f>
        <v>3236.7200000000003</v>
      </c>
      <c r="AE221" s="22">
        <f t="shared" si="810"/>
        <v>273.52999999999997</v>
      </c>
      <c r="AF221" s="22">
        <f t="shared" si="810"/>
        <v>315.77</v>
      </c>
      <c r="AG221" s="22">
        <f t="shared" si="810"/>
        <v>809</v>
      </c>
      <c r="AH221" s="22">
        <f t="shared" si="810"/>
        <v>68</v>
      </c>
      <c r="AI221" s="120">
        <f t="shared" si="810"/>
        <v>269</v>
      </c>
      <c r="AJ221" s="22">
        <f t="shared" si="810"/>
        <v>23</v>
      </c>
      <c r="AK221" s="22">
        <f t="shared" si="810"/>
        <v>0</v>
      </c>
      <c r="AL221" s="22">
        <f t="shared" si="810"/>
        <v>125</v>
      </c>
      <c r="AM221" s="22">
        <f t="shared" si="810"/>
        <v>809.18000000000006</v>
      </c>
      <c r="AN221" s="22">
        <f t="shared" si="810"/>
        <v>49.999999999999993</v>
      </c>
      <c r="AO221" s="22">
        <f t="shared" si="810"/>
        <v>0</v>
      </c>
      <c r="AP221" s="22">
        <f t="shared" si="810"/>
        <v>0</v>
      </c>
      <c r="AQ221" s="22">
        <f t="shared" si="810"/>
        <v>1618.18</v>
      </c>
      <c r="AR221" s="22">
        <f t="shared" si="810"/>
        <v>243</v>
      </c>
      <c r="AS221" s="22">
        <f t="shared" si="810"/>
        <v>0</v>
      </c>
      <c r="AT221" s="22">
        <f t="shared" si="810"/>
        <v>62</v>
      </c>
      <c r="AU221" s="22">
        <f t="shared" si="810"/>
        <v>809.18000000000006</v>
      </c>
      <c r="AV221" s="22">
        <f t="shared" si="810"/>
        <v>68.38</v>
      </c>
      <c r="AW221" s="22">
        <f t="shared" si="810"/>
        <v>0</v>
      </c>
      <c r="AX221" s="22">
        <f t="shared" si="810"/>
        <v>13.62</v>
      </c>
      <c r="AY221" s="22">
        <f t="shared" si="810"/>
        <v>2696.36</v>
      </c>
      <c r="AZ221" s="22">
        <f t="shared" si="810"/>
        <v>410</v>
      </c>
      <c r="BA221" s="22">
        <f t="shared" si="810"/>
        <v>3106.36</v>
      </c>
      <c r="BB221" s="22">
        <f t="shared" si="810"/>
        <v>2634.4399999999996</v>
      </c>
      <c r="BC221" s="22">
        <f t="shared" si="810"/>
        <v>407.16</v>
      </c>
      <c r="BD221" s="22">
        <f t="shared" si="810"/>
        <v>61.920000000000073</v>
      </c>
      <c r="BE221" s="22">
        <f t="shared" si="810"/>
        <v>2.839999999999975</v>
      </c>
      <c r="BF221" s="22">
        <f t="shared" si="810"/>
        <v>526.89</v>
      </c>
      <c r="BG221" s="120">
        <f t="shared" si="810"/>
        <v>81.430000000000007</v>
      </c>
      <c r="BH221" s="120">
        <f t="shared" si="810"/>
        <v>232.48999999999998</v>
      </c>
      <c r="BI221" s="120">
        <f t="shared" si="810"/>
        <v>35</v>
      </c>
      <c r="BJ221" s="120">
        <f t="shared" si="810"/>
        <v>0</v>
      </c>
      <c r="BK221" s="120">
        <f t="shared" si="810"/>
        <v>0</v>
      </c>
      <c r="BL221" s="120">
        <f t="shared" si="810"/>
        <v>2928.85</v>
      </c>
      <c r="BM221" s="120">
        <f t="shared" si="810"/>
        <v>445</v>
      </c>
      <c r="BN221" s="120">
        <f t="shared" si="810"/>
        <v>3373.85</v>
      </c>
      <c r="BO221" s="120">
        <f t="shared" si="810"/>
        <v>2742.47</v>
      </c>
      <c r="BP221" s="120">
        <f t="shared" si="810"/>
        <v>420.75</v>
      </c>
      <c r="BQ221" s="22">
        <f t="shared" si="810"/>
        <v>186.38000000000011</v>
      </c>
      <c r="BR221" s="22">
        <f t="shared" si="810"/>
        <v>24.25</v>
      </c>
      <c r="BS221" s="22">
        <f t="shared" si="810"/>
        <v>249.32</v>
      </c>
      <c r="BT221" s="22">
        <f t="shared" si="810"/>
        <v>38.25</v>
      </c>
      <c r="BU221" s="22">
        <f t="shared" si="810"/>
        <v>62.940000000000005</v>
      </c>
      <c r="BV221" s="22">
        <f t="shared" si="810"/>
        <v>14</v>
      </c>
      <c r="BW221" s="22">
        <f t="shared" si="810"/>
        <v>421.07</v>
      </c>
      <c r="BX221" s="22">
        <f t="shared" si="810"/>
        <v>0</v>
      </c>
      <c r="BY221" s="22">
        <f t="shared" si="810"/>
        <v>0</v>
      </c>
      <c r="BZ221" s="22">
        <f t="shared" si="810"/>
        <v>0</v>
      </c>
      <c r="CA221" s="22">
        <f t="shared" si="810"/>
        <v>3412.8599999999997</v>
      </c>
      <c r="CB221" s="22">
        <f t="shared" si="810"/>
        <v>459</v>
      </c>
    </row>
    <row r="222" spans="1:80" ht="18" x14ac:dyDescent="0.3">
      <c r="A222" s="18">
        <v>29</v>
      </c>
      <c r="B222" s="18" t="s">
        <v>358</v>
      </c>
      <c r="C222" s="19" t="s">
        <v>13</v>
      </c>
      <c r="D222" s="20" t="s">
        <v>359</v>
      </c>
      <c r="E222" s="21" t="s">
        <v>360</v>
      </c>
      <c r="F222" s="82">
        <v>620.8599999999999</v>
      </c>
      <c r="G222" s="82">
        <v>13.07</v>
      </c>
      <c r="H222" s="82">
        <v>620.8599999999999</v>
      </c>
      <c r="I222" s="22">
        <v>13.07</v>
      </c>
      <c r="J222" s="89">
        <v>690</v>
      </c>
      <c r="K222" s="89">
        <v>0</v>
      </c>
      <c r="L222" s="89">
        <v>0</v>
      </c>
      <c r="M222" s="89">
        <f t="shared" ref="M222" si="811">+L222+K222+J222</f>
        <v>690</v>
      </c>
      <c r="N222" s="89">
        <v>0</v>
      </c>
      <c r="O222" s="89">
        <v>0</v>
      </c>
      <c r="P222" s="89">
        <v>0</v>
      </c>
      <c r="Q222" s="89">
        <f t="shared" ref="Q222" si="812">+P222+O222+N222</f>
        <v>0</v>
      </c>
      <c r="R222" s="89">
        <f t="shared" si="734"/>
        <v>690</v>
      </c>
      <c r="S222" s="89">
        <v>0</v>
      </c>
      <c r="V222" s="89">
        <f t="shared" ref="V222" si="813">ROUND(H222*1.0583,2)</f>
        <v>657.06</v>
      </c>
      <c r="W222" s="89">
        <f t="shared" ref="W222" si="814">ROUND(I222*1.0327,2)</f>
        <v>13.5</v>
      </c>
      <c r="X222" s="89">
        <f t="shared" si="709"/>
        <v>32.940000000000055</v>
      </c>
      <c r="Y222" s="89">
        <f t="shared" si="710"/>
        <v>-13.5</v>
      </c>
      <c r="Z222" s="89">
        <v>657.06</v>
      </c>
      <c r="AA222" s="89"/>
      <c r="AB222" s="89">
        <f t="shared" si="711"/>
        <v>657.06</v>
      </c>
      <c r="AC222" s="111">
        <f t="shared" si="712"/>
        <v>0</v>
      </c>
      <c r="AD222" s="89">
        <f t="shared" ref="AD222" si="815">IF(X222&gt;0,V222,R222)</f>
        <v>657.06</v>
      </c>
      <c r="AE222" s="89">
        <f t="shared" ref="AE222" si="816">IF(Y222&gt;0,W222,S222)</f>
        <v>0</v>
      </c>
      <c r="AF222" s="89">
        <f t="shared" si="713"/>
        <v>0</v>
      </c>
      <c r="AG222" s="110">
        <f t="shared" si="714"/>
        <v>164</v>
      </c>
      <c r="AH222" s="110">
        <f t="shared" si="715"/>
        <v>0</v>
      </c>
      <c r="AI222" s="129">
        <f t="shared" si="716"/>
        <v>55</v>
      </c>
      <c r="AJ222" s="110">
        <f t="shared" si="717"/>
        <v>0</v>
      </c>
      <c r="AM222" s="110">
        <f t="shared" si="718"/>
        <v>164.27</v>
      </c>
      <c r="AN222" s="110">
        <f t="shared" si="719"/>
        <v>0</v>
      </c>
      <c r="AQ222" s="110">
        <f t="shared" si="720"/>
        <v>328.27</v>
      </c>
      <c r="AR222" s="110">
        <f t="shared" si="721"/>
        <v>0</v>
      </c>
      <c r="AU222" s="110">
        <f t="shared" si="807"/>
        <v>164.27</v>
      </c>
      <c r="AV222" s="110">
        <f t="shared" si="765"/>
        <v>0</v>
      </c>
      <c r="AW222" s="146">
        <v>57</v>
      </c>
      <c r="AY222" s="110">
        <f t="shared" si="699"/>
        <v>604.54</v>
      </c>
      <c r="AZ222" s="110">
        <f t="shared" si="700"/>
        <v>0</v>
      </c>
      <c r="BA222" s="110">
        <f t="shared" si="701"/>
        <v>604.54</v>
      </c>
      <c r="BB222" s="142">
        <v>592.9</v>
      </c>
      <c r="BD222" s="142">
        <f t="shared" si="702"/>
        <v>11.639999999999986</v>
      </c>
      <c r="BE222" s="142">
        <f t="shared" si="703"/>
        <v>0</v>
      </c>
      <c r="BF222" s="142">
        <f t="shared" si="704"/>
        <v>118.58</v>
      </c>
      <c r="BG222" s="142">
        <f t="shared" si="705"/>
        <v>0</v>
      </c>
      <c r="BH222" s="110">
        <v>46.91</v>
      </c>
      <c r="BI222" s="110">
        <v>0</v>
      </c>
      <c r="BL222" s="110">
        <f t="shared" si="736"/>
        <v>651.44999999999993</v>
      </c>
      <c r="BM222" s="110">
        <f t="shared" si="737"/>
        <v>0</v>
      </c>
      <c r="BN222" s="110">
        <f t="shared" si="738"/>
        <v>651.44999999999993</v>
      </c>
      <c r="BO222" s="110">
        <v>651.54999999999995</v>
      </c>
      <c r="BP222" s="129"/>
      <c r="BQ222" s="110">
        <f t="shared" si="739"/>
        <v>-0.10000000000002274</v>
      </c>
      <c r="BR222" s="110">
        <f t="shared" si="740"/>
        <v>0</v>
      </c>
      <c r="BS222" s="110">
        <f t="shared" si="741"/>
        <v>59.23</v>
      </c>
      <c r="BT222" s="110">
        <f t="shared" si="742"/>
        <v>0</v>
      </c>
      <c r="BU222" s="110">
        <f t="shared" si="760"/>
        <v>59.33000000000002</v>
      </c>
      <c r="BV222" s="146">
        <v>2.52</v>
      </c>
      <c r="BW222" s="111">
        <v>14.6</v>
      </c>
      <c r="BX222" s="146"/>
      <c r="BY222" s="146"/>
      <c r="BZ222" s="146"/>
      <c r="CA222" s="110">
        <f t="shared" si="743"/>
        <v>725.38</v>
      </c>
      <c r="CB222" s="110">
        <f t="shared" si="744"/>
        <v>2.52</v>
      </c>
    </row>
    <row r="223" spans="1:80" ht="36" x14ac:dyDescent="0.3">
      <c r="A223" s="46"/>
      <c r="B223" s="46"/>
      <c r="C223" s="47"/>
      <c r="D223" s="48" t="s">
        <v>361</v>
      </c>
      <c r="E223" s="49" t="s">
        <v>362</v>
      </c>
      <c r="F223" s="50">
        <v>42116.42</v>
      </c>
      <c r="G223" s="50">
        <v>12984.279999999999</v>
      </c>
      <c r="H223" s="50">
        <v>42351.56</v>
      </c>
      <c r="I223" s="50">
        <v>13186.21</v>
      </c>
      <c r="J223" s="94">
        <f t="shared" ref="J223:AA223" si="817">+J222+J221+J217+J214+J213+J205+J206+J209+J196+J197+J198+J195+J192+J191+J187</f>
        <v>48686.55</v>
      </c>
      <c r="K223" s="94">
        <f t="shared" si="817"/>
        <v>1388.01</v>
      </c>
      <c r="L223" s="94">
        <f t="shared" si="817"/>
        <v>0.1</v>
      </c>
      <c r="M223" s="94">
        <f t="shared" si="817"/>
        <v>50074.66</v>
      </c>
      <c r="N223" s="94">
        <f t="shared" si="817"/>
        <v>0</v>
      </c>
      <c r="O223" s="94">
        <f t="shared" si="817"/>
        <v>0</v>
      </c>
      <c r="P223" s="94">
        <f t="shared" si="817"/>
        <v>0</v>
      </c>
      <c r="Q223" s="94">
        <f t="shared" si="817"/>
        <v>0</v>
      </c>
      <c r="R223" s="94">
        <f t="shared" si="817"/>
        <v>50074.66</v>
      </c>
      <c r="S223" s="94">
        <f t="shared" si="817"/>
        <v>15685</v>
      </c>
      <c r="T223" s="94">
        <f t="shared" si="817"/>
        <v>0</v>
      </c>
      <c r="U223" s="94">
        <f t="shared" si="817"/>
        <v>0</v>
      </c>
      <c r="V223" s="94">
        <f t="shared" si="817"/>
        <v>44820.650000000009</v>
      </c>
      <c r="W223" s="94">
        <f t="shared" si="817"/>
        <v>13617.42</v>
      </c>
      <c r="X223" s="94">
        <f t="shared" si="817"/>
        <v>5254.01</v>
      </c>
      <c r="Y223" s="94">
        <f t="shared" si="817"/>
        <v>2067.5800000000004</v>
      </c>
      <c r="Z223" s="94">
        <f t="shared" si="817"/>
        <v>45314.600000000006</v>
      </c>
      <c r="AA223" s="94">
        <f t="shared" si="817"/>
        <v>0</v>
      </c>
      <c r="AB223" s="50">
        <f t="shared" si="711"/>
        <v>45314.600000000006</v>
      </c>
      <c r="AC223" s="111">
        <f t="shared" si="712"/>
        <v>0</v>
      </c>
      <c r="AD223" s="50">
        <f t="shared" ref="AD223:CB223" si="818">+AD222+AD221+AD217+AD214+AD213+AD205+AD206+AD209+AD196+AD197+AD198+AD195+AD192+AD191+AD187</f>
        <v>45314.600000000006</v>
      </c>
      <c r="AE223" s="50">
        <f t="shared" si="818"/>
        <v>13855.71</v>
      </c>
      <c r="AF223" s="50">
        <f t="shared" si="818"/>
        <v>14151</v>
      </c>
      <c r="AG223" s="50">
        <f t="shared" si="818"/>
        <v>11344.9</v>
      </c>
      <c r="AH223" s="50">
        <f t="shared" si="818"/>
        <v>3290</v>
      </c>
      <c r="AI223" s="50">
        <f t="shared" si="818"/>
        <v>3775</v>
      </c>
      <c r="AJ223" s="50">
        <f t="shared" si="818"/>
        <v>1098</v>
      </c>
      <c r="AK223" s="50">
        <f t="shared" si="818"/>
        <v>39.85</v>
      </c>
      <c r="AL223" s="50">
        <f t="shared" si="818"/>
        <v>654.07999999999993</v>
      </c>
      <c r="AM223" s="50">
        <f t="shared" si="818"/>
        <v>11328.68</v>
      </c>
      <c r="AN223" s="50">
        <f t="shared" si="818"/>
        <v>3281.29</v>
      </c>
      <c r="AO223" s="50">
        <f t="shared" si="818"/>
        <v>0</v>
      </c>
      <c r="AP223" s="50">
        <f t="shared" si="818"/>
        <v>0</v>
      </c>
      <c r="AQ223" s="50">
        <f t="shared" si="818"/>
        <v>22713.43</v>
      </c>
      <c r="AR223" s="50">
        <f t="shared" si="818"/>
        <v>7225.3700000000008</v>
      </c>
      <c r="AS223" s="50">
        <f t="shared" si="818"/>
        <v>0</v>
      </c>
      <c r="AT223" s="50">
        <f t="shared" si="818"/>
        <v>217</v>
      </c>
      <c r="AU223" s="50">
        <f t="shared" si="818"/>
        <v>11328.68</v>
      </c>
      <c r="AV223" s="50">
        <f t="shared" si="818"/>
        <v>3496.15</v>
      </c>
      <c r="AW223" s="50">
        <f t="shared" si="818"/>
        <v>57</v>
      </c>
      <c r="AX223" s="50">
        <f t="shared" si="818"/>
        <v>669.32</v>
      </c>
      <c r="AY223" s="50">
        <f t="shared" si="818"/>
        <v>37874.11</v>
      </c>
      <c r="AZ223" s="50">
        <f t="shared" si="818"/>
        <v>12705.84</v>
      </c>
      <c r="BA223" s="50">
        <f t="shared" si="818"/>
        <v>50579.95</v>
      </c>
      <c r="BB223" s="50">
        <f t="shared" si="818"/>
        <v>35819.55999999999</v>
      </c>
      <c r="BC223" s="50">
        <f t="shared" si="818"/>
        <v>11804.640000000001</v>
      </c>
      <c r="BD223" s="50">
        <f t="shared" si="818"/>
        <v>2054.5500000000002</v>
      </c>
      <c r="BE223" s="50">
        <f t="shared" si="818"/>
        <v>901.2</v>
      </c>
      <c r="BF223" s="50">
        <f t="shared" si="818"/>
        <v>7163.92</v>
      </c>
      <c r="BG223" s="50">
        <f t="shared" si="818"/>
        <v>2360.9299999999998</v>
      </c>
      <c r="BH223" s="50">
        <f t="shared" si="818"/>
        <v>2615.6600000000003</v>
      </c>
      <c r="BI223" s="50">
        <f t="shared" si="818"/>
        <v>967.74</v>
      </c>
      <c r="BJ223" s="50">
        <f t="shared" si="818"/>
        <v>0</v>
      </c>
      <c r="BK223" s="50">
        <f t="shared" si="818"/>
        <v>322.37</v>
      </c>
      <c r="BL223" s="50">
        <f t="shared" si="818"/>
        <v>40489.769999999997</v>
      </c>
      <c r="BM223" s="50">
        <f t="shared" si="818"/>
        <v>13995.95</v>
      </c>
      <c r="BN223" s="50">
        <f t="shared" si="818"/>
        <v>54485.72</v>
      </c>
      <c r="BO223" s="50">
        <f t="shared" si="818"/>
        <v>38823.35</v>
      </c>
      <c r="BP223" s="133">
        <f t="shared" si="818"/>
        <v>13173.269999999999</v>
      </c>
      <c r="BQ223" s="50">
        <f t="shared" si="818"/>
        <v>1666.4200000000003</v>
      </c>
      <c r="BR223" s="50">
        <f t="shared" si="818"/>
        <v>822.6800000000004</v>
      </c>
      <c r="BS223" s="50">
        <f t="shared" si="818"/>
        <v>3529.4000000000005</v>
      </c>
      <c r="BT223" s="50">
        <f t="shared" si="818"/>
        <v>1197.57</v>
      </c>
      <c r="BU223" s="50">
        <f t="shared" si="818"/>
        <v>2326.1199999999994</v>
      </c>
      <c r="BV223" s="50">
        <f t="shared" si="818"/>
        <v>946.88</v>
      </c>
      <c r="BW223" s="50">
        <f t="shared" si="818"/>
        <v>1465.86</v>
      </c>
      <c r="BX223" s="50">
        <f t="shared" si="818"/>
        <v>310.95999999999998</v>
      </c>
      <c r="BY223" s="50">
        <f t="shared" si="818"/>
        <v>367.64</v>
      </c>
      <c r="BZ223" s="50">
        <f t="shared" si="818"/>
        <v>0</v>
      </c>
      <c r="CA223" s="50">
        <f t="shared" si="818"/>
        <v>44281.75</v>
      </c>
      <c r="CB223" s="50">
        <f t="shared" si="818"/>
        <v>14886.150000000001</v>
      </c>
    </row>
    <row r="224" spans="1:80" ht="18" x14ac:dyDescent="0.3">
      <c r="A224" s="60">
        <v>30</v>
      </c>
      <c r="B224" s="60"/>
      <c r="C224" s="61"/>
      <c r="D224" s="62" t="s">
        <v>363</v>
      </c>
      <c r="E224" s="63" t="s">
        <v>308</v>
      </c>
      <c r="F224" s="82">
        <v>0</v>
      </c>
      <c r="G224" s="82">
        <v>0</v>
      </c>
      <c r="H224" s="82">
        <v>0</v>
      </c>
      <c r="I224" s="64">
        <v>0</v>
      </c>
      <c r="J224" s="97"/>
      <c r="K224" s="88"/>
      <c r="L224" s="88"/>
      <c r="M224" s="88"/>
      <c r="N224" s="88"/>
      <c r="O224" s="88"/>
      <c r="P224" s="88"/>
      <c r="Q224" s="88"/>
      <c r="R224" s="88"/>
      <c r="S224" s="88"/>
      <c r="V224" s="64">
        <v>0</v>
      </c>
      <c r="W224" s="17">
        <f t="shared" ref="W224" si="819">+U224+V224</f>
        <v>0</v>
      </c>
      <c r="X224" s="110">
        <f t="shared" si="709"/>
        <v>0</v>
      </c>
      <c r="Y224" s="110">
        <f t="shared" si="710"/>
        <v>0</v>
      </c>
      <c r="Z224" s="110"/>
      <c r="AA224" s="110"/>
      <c r="AB224" s="110">
        <f t="shared" si="711"/>
        <v>0</v>
      </c>
      <c r="AC224" s="111">
        <f t="shared" si="712"/>
        <v>0</v>
      </c>
      <c r="AD224" s="110"/>
      <c r="AE224" s="110"/>
      <c r="AF224" s="110">
        <f t="shared" si="713"/>
        <v>0</v>
      </c>
      <c r="AG224" s="110">
        <f t="shared" si="714"/>
        <v>0</v>
      </c>
      <c r="AH224" s="110">
        <f t="shared" si="715"/>
        <v>0</v>
      </c>
      <c r="AI224" s="129">
        <f t="shared" si="716"/>
        <v>0</v>
      </c>
      <c r="AJ224" s="110">
        <f t="shared" si="717"/>
        <v>0</v>
      </c>
      <c r="AM224" s="110">
        <f t="shared" si="718"/>
        <v>0</v>
      </c>
      <c r="AN224" s="110">
        <f t="shared" si="719"/>
        <v>0</v>
      </c>
      <c r="AQ224" s="110">
        <f t="shared" si="720"/>
        <v>0</v>
      </c>
      <c r="AR224" s="110">
        <f t="shared" si="721"/>
        <v>0</v>
      </c>
      <c r="AU224" s="110">
        <f t="shared" si="807"/>
        <v>0</v>
      </c>
      <c r="AV224" s="110">
        <f t="shared" si="765"/>
        <v>0</v>
      </c>
      <c r="AY224" s="110">
        <f t="shared" si="699"/>
        <v>0</v>
      </c>
      <c r="AZ224" s="110">
        <f t="shared" si="700"/>
        <v>0</v>
      </c>
      <c r="BA224" s="110">
        <f t="shared" si="701"/>
        <v>0</v>
      </c>
      <c r="BD224" s="142">
        <f t="shared" si="702"/>
        <v>0</v>
      </c>
      <c r="BE224" s="142">
        <f t="shared" si="703"/>
        <v>0</v>
      </c>
      <c r="BF224" s="142">
        <f t="shared" si="704"/>
        <v>0</v>
      </c>
      <c r="BG224" s="142">
        <f t="shared" si="705"/>
        <v>0</v>
      </c>
      <c r="BH224" s="110">
        <v>0</v>
      </c>
      <c r="BI224" s="110">
        <v>0</v>
      </c>
      <c r="BL224" s="110">
        <f t="shared" si="736"/>
        <v>0</v>
      </c>
      <c r="BM224" s="110">
        <f t="shared" si="737"/>
        <v>0</v>
      </c>
      <c r="BN224" s="110">
        <f t="shared" si="738"/>
        <v>0</v>
      </c>
      <c r="BO224" s="110">
        <v>0</v>
      </c>
      <c r="BP224" s="129">
        <f t="shared" ref="BP224" si="820">+BK224+BB224+BM224</f>
        <v>0</v>
      </c>
      <c r="BQ224" s="110">
        <f t="shared" si="739"/>
        <v>0</v>
      </c>
      <c r="BR224" s="110">
        <f t="shared" si="740"/>
        <v>0</v>
      </c>
      <c r="BS224" s="110">
        <f t="shared" si="741"/>
        <v>0</v>
      </c>
      <c r="BT224" s="110">
        <f t="shared" si="742"/>
        <v>0</v>
      </c>
      <c r="BU224" s="110">
        <f t="shared" si="760"/>
        <v>0</v>
      </c>
      <c r="BV224" s="110">
        <v>0</v>
      </c>
      <c r="CA224" s="110">
        <f t="shared" si="743"/>
        <v>0</v>
      </c>
      <c r="CB224" s="110">
        <f t="shared" si="744"/>
        <v>0</v>
      </c>
    </row>
    <row r="225" spans="1:80" ht="36" x14ac:dyDescent="0.3">
      <c r="A225" s="46"/>
      <c r="B225" s="46" t="s">
        <v>364</v>
      </c>
      <c r="C225" s="47"/>
      <c r="D225" s="48" t="s">
        <v>365</v>
      </c>
      <c r="E225" s="49" t="s">
        <v>366</v>
      </c>
      <c r="F225" s="50">
        <v>0</v>
      </c>
      <c r="G225" s="50">
        <v>0</v>
      </c>
      <c r="H225" s="50">
        <v>0</v>
      </c>
      <c r="I225" s="50">
        <v>0</v>
      </c>
      <c r="J225" s="94">
        <f t="shared" ref="J225:AA225" si="821">J224</f>
        <v>0</v>
      </c>
      <c r="K225" s="94">
        <f t="shared" si="821"/>
        <v>0</v>
      </c>
      <c r="L225" s="94">
        <f t="shared" si="821"/>
        <v>0</v>
      </c>
      <c r="M225" s="94">
        <f t="shared" si="821"/>
        <v>0</v>
      </c>
      <c r="N225" s="94">
        <f t="shared" si="821"/>
        <v>0</v>
      </c>
      <c r="O225" s="94">
        <f t="shared" si="821"/>
        <v>0</v>
      </c>
      <c r="P225" s="94">
        <f t="shared" si="821"/>
        <v>0</v>
      </c>
      <c r="Q225" s="94">
        <f t="shared" si="821"/>
        <v>0</v>
      </c>
      <c r="R225" s="94">
        <f t="shared" si="821"/>
        <v>0</v>
      </c>
      <c r="S225" s="94">
        <f t="shared" si="821"/>
        <v>0</v>
      </c>
      <c r="T225" s="94">
        <f t="shared" si="821"/>
        <v>0</v>
      </c>
      <c r="U225" s="94">
        <f t="shared" si="821"/>
        <v>0</v>
      </c>
      <c r="V225" s="94">
        <f t="shared" si="821"/>
        <v>0</v>
      </c>
      <c r="W225" s="94">
        <f t="shared" si="821"/>
        <v>0</v>
      </c>
      <c r="X225" s="94">
        <f t="shared" si="821"/>
        <v>0</v>
      </c>
      <c r="Y225" s="94">
        <f t="shared" si="821"/>
        <v>0</v>
      </c>
      <c r="Z225" s="94">
        <f t="shared" si="821"/>
        <v>0</v>
      </c>
      <c r="AA225" s="94">
        <f t="shared" si="821"/>
        <v>0</v>
      </c>
      <c r="AB225" s="50">
        <f t="shared" si="711"/>
        <v>0</v>
      </c>
      <c r="AC225" s="111">
        <f t="shared" si="712"/>
        <v>0</v>
      </c>
      <c r="AD225" s="50">
        <f t="shared" ref="AD225:CB225" si="822">AD224</f>
        <v>0</v>
      </c>
      <c r="AE225" s="50">
        <f t="shared" si="822"/>
        <v>0</v>
      </c>
      <c r="AF225" s="50">
        <f t="shared" si="822"/>
        <v>0</v>
      </c>
      <c r="AG225" s="50">
        <f t="shared" si="822"/>
        <v>0</v>
      </c>
      <c r="AH225" s="50">
        <f t="shared" si="822"/>
        <v>0</v>
      </c>
      <c r="AI225" s="133">
        <f t="shared" si="822"/>
        <v>0</v>
      </c>
      <c r="AJ225" s="50">
        <f t="shared" si="822"/>
        <v>0</v>
      </c>
      <c r="AK225" s="50">
        <f t="shared" si="822"/>
        <v>0</v>
      </c>
      <c r="AL225" s="50">
        <f t="shared" si="822"/>
        <v>0</v>
      </c>
      <c r="AM225" s="50">
        <f t="shared" si="822"/>
        <v>0</v>
      </c>
      <c r="AN225" s="50">
        <f t="shared" si="822"/>
        <v>0</v>
      </c>
      <c r="AO225" s="50">
        <f t="shared" si="822"/>
        <v>0</v>
      </c>
      <c r="AP225" s="50">
        <f t="shared" si="822"/>
        <v>0</v>
      </c>
      <c r="AQ225" s="50">
        <f t="shared" si="822"/>
        <v>0</v>
      </c>
      <c r="AR225" s="50">
        <f t="shared" si="822"/>
        <v>0</v>
      </c>
      <c r="AS225" s="50">
        <f t="shared" si="822"/>
        <v>0</v>
      </c>
      <c r="AT225" s="50">
        <f t="shared" si="822"/>
        <v>0</v>
      </c>
      <c r="AU225" s="50">
        <f t="shared" si="822"/>
        <v>0</v>
      </c>
      <c r="AV225" s="50">
        <f t="shared" si="822"/>
        <v>0</v>
      </c>
      <c r="AW225" s="50">
        <f t="shared" si="822"/>
        <v>0</v>
      </c>
      <c r="AX225" s="50">
        <f t="shared" si="822"/>
        <v>0</v>
      </c>
      <c r="AY225" s="50">
        <f t="shared" si="822"/>
        <v>0</v>
      </c>
      <c r="AZ225" s="50">
        <f t="shared" si="822"/>
        <v>0</v>
      </c>
      <c r="BA225" s="50">
        <f t="shared" si="822"/>
        <v>0</v>
      </c>
      <c r="BB225" s="50">
        <f t="shared" si="822"/>
        <v>0</v>
      </c>
      <c r="BC225" s="50">
        <f t="shared" si="822"/>
        <v>0</v>
      </c>
      <c r="BD225" s="50">
        <f t="shared" si="822"/>
        <v>0</v>
      </c>
      <c r="BE225" s="50">
        <f t="shared" si="822"/>
        <v>0</v>
      </c>
      <c r="BF225" s="50">
        <f t="shared" si="822"/>
        <v>0</v>
      </c>
      <c r="BG225" s="133">
        <f t="shared" si="822"/>
        <v>0</v>
      </c>
      <c r="BH225" s="133">
        <f t="shared" si="822"/>
        <v>0</v>
      </c>
      <c r="BI225" s="133">
        <f t="shared" si="822"/>
        <v>0</v>
      </c>
      <c r="BJ225" s="133">
        <f t="shared" si="822"/>
        <v>0</v>
      </c>
      <c r="BK225" s="133">
        <f t="shared" si="822"/>
        <v>0</v>
      </c>
      <c r="BL225" s="133">
        <f t="shared" si="822"/>
        <v>0</v>
      </c>
      <c r="BM225" s="133">
        <f t="shared" si="822"/>
        <v>0</v>
      </c>
      <c r="BN225" s="133">
        <f t="shared" si="822"/>
        <v>0</v>
      </c>
      <c r="BO225" s="133">
        <f t="shared" si="822"/>
        <v>0</v>
      </c>
      <c r="BP225" s="133">
        <f t="shared" si="822"/>
        <v>0</v>
      </c>
      <c r="BQ225" s="50">
        <f t="shared" si="822"/>
        <v>0</v>
      </c>
      <c r="BR225" s="50">
        <f t="shared" si="822"/>
        <v>0</v>
      </c>
      <c r="BS225" s="50">
        <f t="shared" si="822"/>
        <v>0</v>
      </c>
      <c r="BT225" s="50">
        <f t="shared" si="822"/>
        <v>0</v>
      </c>
      <c r="BU225" s="50">
        <f t="shared" si="822"/>
        <v>0</v>
      </c>
      <c r="BV225" s="50">
        <f t="shared" si="822"/>
        <v>0</v>
      </c>
      <c r="BW225" s="50">
        <f t="shared" si="822"/>
        <v>0</v>
      </c>
      <c r="BX225" s="50">
        <f t="shared" si="822"/>
        <v>0</v>
      </c>
      <c r="BY225" s="50">
        <f t="shared" si="822"/>
        <v>0</v>
      </c>
      <c r="BZ225" s="50">
        <f t="shared" si="822"/>
        <v>0</v>
      </c>
      <c r="CA225" s="50">
        <f t="shared" si="822"/>
        <v>0</v>
      </c>
      <c r="CB225" s="50">
        <f t="shared" si="822"/>
        <v>0</v>
      </c>
    </row>
    <row r="226" spans="1:80" ht="18" x14ac:dyDescent="0.3">
      <c r="A226" s="13">
        <v>1</v>
      </c>
      <c r="B226" s="13"/>
      <c r="C226" s="14"/>
      <c r="D226" s="15" t="s">
        <v>367</v>
      </c>
      <c r="E226" s="16"/>
      <c r="F226" s="82">
        <v>2280</v>
      </c>
      <c r="G226" s="82">
        <v>1981.3200000000002</v>
      </c>
      <c r="H226" s="82">
        <v>2280</v>
      </c>
      <c r="I226" s="17">
        <v>1981.3200000000002</v>
      </c>
      <c r="J226" s="87">
        <v>2400</v>
      </c>
      <c r="K226" s="88">
        <v>0</v>
      </c>
      <c r="L226" s="88">
        <v>0</v>
      </c>
      <c r="M226" s="88">
        <f t="shared" ref="M226:M227" si="823">J226+K226+L226</f>
        <v>2400</v>
      </c>
      <c r="N226" s="88">
        <v>0</v>
      </c>
      <c r="O226" s="88">
        <v>0</v>
      </c>
      <c r="P226" s="88">
        <v>0</v>
      </c>
      <c r="Q226" s="88">
        <f t="shared" ref="Q226:Q227" si="824">N226+O226+P226</f>
        <v>0</v>
      </c>
      <c r="R226" s="88">
        <f t="shared" ref="R226:R227" si="825">+Q226+M226</f>
        <v>2400</v>
      </c>
      <c r="S226" s="88">
        <v>2120</v>
      </c>
      <c r="V226" s="17">
        <f t="shared" ref="V226" si="826">ROUND(H226*1.0583,2)</f>
        <v>2412.92</v>
      </c>
      <c r="W226" s="17">
        <f t="shared" ref="W226" si="827">ROUND(I226*1.0327,2)</f>
        <v>2046.11</v>
      </c>
      <c r="X226" s="110">
        <f t="shared" si="709"/>
        <v>-12.920000000000073</v>
      </c>
      <c r="Y226" s="110">
        <f t="shared" si="710"/>
        <v>73.8900000000001</v>
      </c>
      <c r="Z226" s="110">
        <v>2400</v>
      </c>
      <c r="AA226" s="110"/>
      <c r="AB226" s="110">
        <f t="shared" si="711"/>
        <v>2400</v>
      </c>
      <c r="AC226" s="111">
        <f t="shared" si="712"/>
        <v>0</v>
      </c>
      <c r="AD226" s="110">
        <f t="shared" ref="AD226" si="828">IF(X226&gt;0,V226,R226)</f>
        <v>2400</v>
      </c>
      <c r="AE226" s="110">
        <f t="shared" ref="AE226" si="829">IF(Y226&gt;0,W226,S226)</f>
        <v>2046.11</v>
      </c>
      <c r="AF226" s="110">
        <f t="shared" si="713"/>
        <v>1912.66</v>
      </c>
      <c r="AG226" s="110">
        <f t="shared" si="714"/>
        <v>600</v>
      </c>
      <c r="AH226" s="110">
        <f t="shared" si="715"/>
        <v>512</v>
      </c>
      <c r="AI226" s="129">
        <f t="shared" si="716"/>
        <v>200</v>
      </c>
      <c r="AJ226" s="110">
        <f t="shared" si="717"/>
        <v>171</v>
      </c>
      <c r="AM226" s="110">
        <f>ROUND(AD226*25%,2)-100</f>
        <v>500</v>
      </c>
      <c r="AN226" s="110">
        <f t="shared" si="719"/>
        <v>498.23</v>
      </c>
      <c r="AQ226" s="110">
        <f t="shared" si="720"/>
        <v>1100</v>
      </c>
      <c r="AR226" s="110">
        <f t="shared" si="721"/>
        <v>1010.23</v>
      </c>
      <c r="AU226" s="118">
        <f t="shared" si="807"/>
        <v>600</v>
      </c>
      <c r="AV226" s="118">
        <f>ROUND(AE226*25%,2)+164.95</f>
        <v>676.48</v>
      </c>
      <c r="AW226" s="118"/>
      <c r="AX226" s="118"/>
      <c r="AY226" s="110">
        <f t="shared" si="699"/>
        <v>1900</v>
      </c>
      <c r="AZ226" s="110">
        <f t="shared" si="700"/>
        <v>1857.71</v>
      </c>
      <c r="BA226" s="110">
        <f t="shared" si="701"/>
        <v>3757.71</v>
      </c>
      <c r="BB226" s="155">
        <v>1879</v>
      </c>
      <c r="BC226" s="142">
        <v>1903.81</v>
      </c>
      <c r="BD226" s="142">
        <f t="shared" si="702"/>
        <v>21</v>
      </c>
      <c r="BE226" s="142">
        <f t="shared" si="703"/>
        <v>-46.099999999999909</v>
      </c>
      <c r="BF226" s="142">
        <f t="shared" si="704"/>
        <v>375.8</v>
      </c>
      <c r="BG226" s="142">
        <f t="shared" si="705"/>
        <v>380.76</v>
      </c>
      <c r="BH226" s="110">
        <v>195.69</v>
      </c>
      <c r="BI226" s="110">
        <v>175</v>
      </c>
      <c r="BL226" s="110">
        <f t="shared" si="736"/>
        <v>2095.69</v>
      </c>
      <c r="BM226" s="110">
        <f t="shared" si="737"/>
        <v>2032.71</v>
      </c>
      <c r="BN226" s="110">
        <f t="shared" si="738"/>
        <v>4128.3999999999996</v>
      </c>
      <c r="BO226" s="110">
        <v>2094.9499999999998</v>
      </c>
      <c r="BP226" s="129">
        <v>2058.23</v>
      </c>
      <c r="BQ226" s="110">
        <f t="shared" si="739"/>
        <v>0.74000000000023647</v>
      </c>
      <c r="BR226" s="110">
        <f t="shared" si="740"/>
        <v>-25.519999999999982</v>
      </c>
      <c r="BS226" s="110">
        <f t="shared" si="741"/>
        <v>190.45</v>
      </c>
      <c r="BT226" s="110">
        <f t="shared" si="742"/>
        <v>187.11</v>
      </c>
      <c r="BU226" s="146">
        <v>224.31</v>
      </c>
      <c r="BV226" s="146">
        <v>177.29</v>
      </c>
      <c r="BW226" s="146"/>
      <c r="BX226" s="146"/>
      <c r="BY226" s="146"/>
      <c r="BZ226" s="146"/>
      <c r="CA226" s="110">
        <f t="shared" si="743"/>
        <v>2320</v>
      </c>
      <c r="CB226" s="110">
        <f t="shared" si="744"/>
        <v>2210</v>
      </c>
    </row>
    <row r="227" spans="1:80" ht="18" x14ac:dyDescent="0.3">
      <c r="A227" s="13">
        <v>2</v>
      </c>
      <c r="B227" s="13"/>
      <c r="C227" s="14"/>
      <c r="D227" s="15" t="s">
        <v>368</v>
      </c>
      <c r="E227" s="16"/>
      <c r="F227" s="82">
        <v>0</v>
      </c>
      <c r="G227" s="82">
        <v>0</v>
      </c>
      <c r="H227" s="82">
        <v>0</v>
      </c>
      <c r="I227" s="17">
        <v>0</v>
      </c>
      <c r="J227" s="87">
        <v>0</v>
      </c>
      <c r="K227" s="88">
        <v>0</v>
      </c>
      <c r="L227" s="88">
        <v>0</v>
      </c>
      <c r="M227" s="88">
        <f t="shared" si="823"/>
        <v>0</v>
      </c>
      <c r="N227" s="88">
        <v>0</v>
      </c>
      <c r="O227" s="88">
        <v>0</v>
      </c>
      <c r="P227" s="88">
        <v>0</v>
      </c>
      <c r="Q227" s="88">
        <f t="shared" si="824"/>
        <v>0</v>
      </c>
      <c r="R227" s="88">
        <f t="shared" si="825"/>
        <v>0</v>
      </c>
      <c r="S227" s="88"/>
      <c r="V227" s="17">
        <f t="shared" ref="V227" si="830">ROUND(H227*1.0583,2)</f>
        <v>0</v>
      </c>
      <c r="W227" s="17">
        <f t="shared" ref="W227" si="831">ROUND(I227*1.0327,2)</f>
        <v>0</v>
      </c>
      <c r="X227" s="110">
        <f t="shared" si="709"/>
        <v>0</v>
      </c>
      <c r="Y227" s="110">
        <f t="shared" si="710"/>
        <v>0</v>
      </c>
      <c r="Z227" s="110">
        <v>0</v>
      </c>
      <c r="AA227" s="110"/>
      <c r="AB227" s="110">
        <f t="shared" si="711"/>
        <v>0</v>
      </c>
      <c r="AC227" s="111">
        <f t="shared" si="712"/>
        <v>0</v>
      </c>
      <c r="AD227" s="110">
        <f t="shared" ref="AD227" si="832">IF(X227&gt;0,V227,R227)</f>
        <v>0</v>
      </c>
      <c r="AE227" s="110">
        <f t="shared" ref="AE227" si="833">IF(Y227&gt;0,W227,S227)</f>
        <v>0</v>
      </c>
      <c r="AF227" s="110">
        <f t="shared" si="713"/>
        <v>0</v>
      </c>
      <c r="AG227" s="110">
        <f t="shared" si="714"/>
        <v>0</v>
      </c>
      <c r="AH227" s="110">
        <f t="shared" si="715"/>
        <v>0</v>
      </c>
      <c r="AI227" s="129">
        <f t="shared" si="716"/>
        <v>0</v>
      </c>
      <c r="AJ227" s="110">
        <f t="shared" si="717"/>
        <v>0</v>
      </c>
      <c r="AM227" s="110">
        <f t="shared" si="718"/>
        <v>0</v>
      </c>
      <c r="AN227" s="110">
        <f t="shared" si="719"/>
        <v>0</v>
      </c>
      <c r="AQ227" s="110">
        <f t="shared" si="720"/>
        <v>0</v>
      </c>
      <c r="AR227" s="110">
        <f t="shared" si="721"/>
        <v>0</v>
      </c>
      <c r="AU227" s="110">
        <f t="shared" si="807"/>
        <v>0</v>
      </c>
      <c r="AV227" s="110">
        <f t="shared" si="765"/>
        <v>0</v>
      </c>
      <c r="AY227" s="110">
        <f t="shared" si="699"/>
        <v>0</v>
      </c>
      <c r="AZ227" s="110">
        <f t="shared" si="700"/>
        <v>0</v>
      </c>
      <c r="BA227" s="110">
        <f t="shared" si="701"/>
        <v>0</v>
      </c>
      <c r="BB227" s="155">
        <v>0</v>
      </c>
      <c r="BD227" s="142">
        <f t="shared" si="702"/>
        <v>0</v>
      </c>
      <c r="BE227" s="142">
        <f t="shared" si="703"/>
        <v>0</v>
      </c>
      <c r="BF227" s="142">
        <f t="shared" si="704"/>
        <v>0</v>
      </c>
      <c r="BG227" s="142">
        <f t="shared" si="705"/>
        <v>0</v>
      </c>
      <c r="BH227" s="110">
        <v>0</v>
      </c>
      <c r="BI227" s="110">
        <v>0</v>
      </c>
      <c r="BL227" s="110">
        <f t="shared" si="736"/>
        <v>0</v>
      </c>
      <c r="BM227" s="110">
        <f t="shared" si="737"/>
        <v>0</v>
      </c>
      <c r="BN227" s="110">
        <f t="shared" si="738"/>
        <v>0</v>
      </c>
      <c r="BO227" s="110">
        <v>0</v>
      </c>
      <c r="BP227" s="129"/>
      <c r="BQ227" s="110">
        <f t="shared" si="739"/>
        <v>0</v>
      </c>
      <c r="BR227" s="110">
        <f t="shared" si="740"/>
        <v>0</v>
      </c>
      <c r="BS227" s="110">
        <f t="shared" si="741"/>
        <v>0</v>
      </c>
      <c r="BT227" s="110">
        <f t="shared" si="742"/>
        <v>0</v>
      </c>
      <c r="BU227" s="110">
        <f t="shared" si="760"/>
        <v>0</v>
      </c>
      <c r="BV227" s="110">
        <v>0</v>
      </c>
      <c r="CA227" s="110">
        <f t="shared" si="743"/>
        <v>0</v>
      </c>
      <c r="CB227" s="110">
        <f t="shared" si="744"/>
        <v>0</v>
      </c>
    </row>
    <row r="228" spans="1:80" ht="18" x14ac:dyDescent="0.3">
      <c r="A228" s="18"/>
      <c r="B228" s="18" t="s">
        <v>369</v>
      </c>
      <c r="C228" s="19" t="s">
        <v>64</v>
      </c>
      <c r="D228" s="20" t="s">
        <v>367</v>
      </c>
      <c r="E228" s="21" t="s">
        <v>370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9">
        <f t="shared" ref="J228:AA228" si="834">+J226+J227</f>
        <v>2400</v>
      </c>
      <c r="K228" s="89">
        <f t="shared" si="834"/>
        <v>0</v>
      </c>
      <c r="L228" s="89">
        <f t="shared" si="834"/>
        <v>0</v>
      </c>
      <c r="M228" s="89">
        <f t="shared" si="834"/>
        <v>2400</v>
      </c>
      <c r="N228" s="89">
        <f t="shared" si="834"/>
        <v>0</v>
      </c>
      <c r="O228" s="89">
        <f t="shared" si="834"/>
        <v>0</v>
      </c>
      <c r="P228" s="89">
        <f t="shared" si="834"/>
        <v>0</v>
      </c>
      <c r="Q228" s="89">
        <f t="shared" si="834"/>
        <v>0</v>
      </c>
      <c r="R228" s="89">
        <f t="shared" si="834"/>
        <v>2400</v>
      </c>
      <c r="S228" s="89">
        <f t="shared" si="834"/>
        <v>2120</v>
      </c>
      <c r="T228" s="89">
        <f t="shared" si="834"/>
        <v>0</v>
      </c>
      <c r="U228" s="89">
        <f t="shared" si="834"/>
        <v>0</v>
      </c>
      <c r="V228" s="89">
        <f t="shared" si="834"/>
        <v>2412.92</v>
      </c>
      <c r="W228" s="89">
        <f t="shared" si="834"/>
        <v>2046.11</v>
      </c>
      <c r="X228" s="89">
        <f t="shared" si="834"/>
        <v>-12.920000000000073</v>
      </c>
      <c r="Y228" s="89">
        <f t="shared" si="834"/>
        <v>73.8900000000001</v>
      </c>
      <c r="Z228" s="89">
        <f t="shared" si="834"/>
        <v>2400</v>
      </c>
      <c r="AA228" s="89">
        <f t="shared" si="834"/>
        <v>0</v>
      </c>
      <c r="AB228" s="22">
        <f t="shared" si="711"/>
        <v>2400</v>
      </c>
      <c r="AC228" s="111">
        <f t="shared" si="712"/>
        <v>0</v>
      </c>
      <c r="AD228" s="22">
        <f t="shared" ref="AD228:CB228" si="835">+AD226+AD227</f>
        <v>2400</v>
      </c>
      <c r="AE228" s="22">
        <f t="shared" si="835"/>
        <v>2046.11</v>
      </c>
      <c r="AF228" s="22">
        <f t="shared" si="835"/>
        <v>1912.66</v>
      </c>
      <c r="AG228" s="22">
        <f t="shared" si="835"/>
        <v>600</v>
      </c>
      <c r="AH228" s="22">
        <f t="shared" si="835"/>
        <v>512</v>
      </c>
      <c r="AI228" s="120">
        <f t="shared" si="835"/>
        <v>200</v>
      </c>
      <c r="AJ228" s="22">
        <f t="shared" si="835"/>
        <v>171</v>
      </c>
      <c r="AK228" s="22">
        <f t="shared" si="835"/>
        <v>0</v>
      </c>
      <c r="AL228" s="22">
        <f t="shared" si="835"/>
        <v>0</v>
      </c>
      <c r="AM228" s="22">
        <f t="shared" si="835"/>
        <v>500</v>
      </c>
      <c r="AN228" s="22">
        <f t="shared" si="835"/>
        <v>498.23</v>
      </c>
      <c r="AO228" s="22">
        <f t="shared" si="835"/>
        <v>0</v>
      </c>
      <c r="AP228" s="22">
        <f t="shared" si="835"/>
        <v>0</v>
      </c>
      <c r="AQ228" s="22">
        <f t="shared" si="835"/>
        <v>1100</v>
      </c>
      <c r="AR228" s="22">
        <f t="shared" si="835"/>
        <v>1010.23</v>
      </c>
      <c r="AS228" s="22">
        <f t="shared" si="835"/>
        <v>0</v>
      </c>
      <c r="AT228" s="22">
        <f t="shared" si="835"/>
        <v>0</v>
      </c>
      <c r="AU228" s="22">
        <f t="shared" si="835"/>
        <v>600</v>
      </c>
      <c r="AV228" s="22">
        <f t="shared" si="835"/>
        <v>676.48</v>
      </c>
      <c r="AW228" s="22">
        <f t="shared" si="835"/>
        <v>0</v>
      </c>
      <c r="AX228" s="22">
        <f t="shared" si="835"/>
        <v>0</v>
      </c>
      <c r="AY228" s="22">
        <f t="shared" si="835"/>
        <v>1900</v>
      </c>
      <c r="AZ228" s="22">
        <f t="shared" si="835"/>
        <v>1857.71</v>
      </c>
      <c r="BA228" s="22">
        <f t="shared" si="835"/>
        <v>3757.71</v>
      </c>
      <c r="BB228" s="22">
        <f t="shared" si="835"/>
        <v>1879</v>
      </c>
      <c r="BC228" s="22">
        <f t="shared" si="835"/>
        <v>1903.81</v>
      </c>
      <c r="BD228" s="22">
        <f t="shared" si="835"/>
        <v>21</v>
      </c>
      <c r="BE228" s="22">
        <f t="shared" si="835"/>
        <v>-46.099999999999909</v>
      </c>
      <c r="BF228" s="22">
        <f t="shared" si="835"/>
        <v>375.8</v>
      </c>
      <c r="BG228" s="120">
        <f t="shared" si="835"/>
        <v>380.76</v>
      </c>
      <c r="BH228" s="120">
        <f t="shared" si="835"/>
        <v>195.69</v>
      </c>
      <c r="BI228" s="120">
        <f t="shared" si="835"/>
        <v>175</v>
      </c>
      <c r="BJ228" s="120">
        <f t="shared" si="835"/>
        <v>0</v>
      </c>
      <c r="BK228" s="120">
        <f t="shared" si="835"/>
        <v>0</v>
      </c>
      <c r="BL228" s="120">
        <f t="shared" si="835"/>
        <v>2095.69</v>
      </c>
      <c r="BM228" s="120">
        <f t="shared" si="835"/>
        <v>2032.71</v>
      </c>
      <c r="BN228" s="120">
        <f t="shared" si="835"/>
        <v>4128.3999999999996</v>
      </c>
      <c r="BO228" s="120">
        <f t="shared" si="835"/>
        <v>2094.9499999999998</v>
      </c>
      <c r="BP228" s="120">
        <f t="shared" si="835"/>
        <v>2058.23</v>
      </c>
      <c r="BQ228" s="22">
        <f t="shared" si="835"/>
        <v>0.74000000000023647</v>
      </c>
      <c r="BR228" s="22">
        <f t="shared" si="835"/>
        <v>-25.519999999999982</v>
      </c>
      <c r="BS228" s="22">
        <f t="shared" si="835"/>
        <v>190.45</v>
      </c>
      <c r="BT228" s="22">
        <f t="shared" si="835"/>
        <v>187.11</v>
      </c>
      <c r="BU228" s="22">
        <f t="shared" si="835"/>
        <v>224.31</v>
      </c>
      <c r="BV228" s="22">
        <f t="shared" si="835"/>
        <v>177.29</v>
      </c>
      <c r="BW228" s="22">
        <f t="shared" si="835"/>
        <v>0</v>
      </c>
      <c r="BX228" s="22">
        <f t="shared" si="835"/>
        <v>0</v>
      </c>
      <c r="BY228" s="22">
        <f t="shared" si="835"/>
        <v>0</v>
      </c>
      <c r="BZ228" s="22">
        <f t="shared" si="835"/>
        <v>0</v>
      </c>
      <c r="CA228" s="22">
        <f t="shared" si="835"/>
        <v>2320</v>
      </c>
      <c r="CB228" s="22">
        <f t="shared" si="835"/>
        <v>2210</v>
      </c>
    </row>
    <row r="229" spans="1:80" ht="18" x14ac:dyDescent="0.3">
      <c r="A229" s="18">
        <v>3</v>
      </c>
      <c r="B229" s="18" t="s">
        <v>371</v>
      </c>
      <c r="C229" s="19" t="s">
        <v>18</v>
      </c>
      <c r="D229" s="20" t="s">
        <v>372</v>
      </c>
      <c r="E229" s="21" t="s">
        <v>373</v>
      </c>
      <c r="F229" s="82">
        <v>2809.96</v>
      </c>
      <c r="G229" s="82">
        <v>6650.1999999999989</v>
      </c>
      <c r="H229" s="82">
        <v>2809.96</v>
      </c>
      <c r="I229" s="22">
        <v>6680.1999999999989</v>
      </c>
      <c r="J229" s="89">
        <v>3551.58</v>
      </c>
      <c r="K229" s="89">
        <v>0</v>
      </c>
      <c r="L229" s="89">
        <v>0.2</v>
      </c>
      <c r="M229" s="89">
        <f t="shared" ref="M229:M232" si="836">+L229+K229+J229</f>
        <v>3551.7799999999997</v>
      </c>
      <c r="N229" s="89">
        <v>0</v>
      </c>
      <c r="O229" s="89">
        <v>0</v>
      </c>
      <c r="P229" s="89">
        <v>0</v>
      </c>
      <c r="Q229" s="89">
        <f t="shared" ref="Q229:Q232" si="837">+P229+O229+N229</f>
        <v>0</v>
      </c>
      <c r="R229" s="89">
        <f t="shared" ref="R229:R234" si="838">+Q229+M229</f>
        <v>3551.7799999999997</v>
      </c>
      <c r="S229" s="89">
        <v>7200</v>
      </c>
      <c r="V229" s="22">
        <f t="shared" ref="V229:V234" si="839">ROUND(H229*1.0583,2)</f>
        <v>2973.78</v>
      </c>
      <c r="W229" s="22">
        <f t="shared" ref="W229:W234" si="840">ROUND(I229*1.0327,2)</f>
        <v>6898.64</v>
      </c>
      <c r="X229" s="22">
        <f t="shared" si="709"/>
        <v>577.99999999999955</v>
      </c>
      <c r="Y229" s="22">
        <f t="shared" si="710"/>
        <v>301.35999999999967</v>
      </c>
      <c r="Z229" s="22">
        <v>2973.78</v>
      </c>
      <c r="AA229" s="22"/>
      <c r="AB229" s="22">
        <f t="shared" si="711"/>
        <v>2973.78</v>
      </c>
      <c r="AC229" s="111">
        <f t="shared" si="712"/>
        <v>0</v>
      </c>
      <c r="AD229" s="22">
        <f t="shared" ref="AD229" si="841">IF(X229&gt;0,V229,R229)</f>
        <v>2973.78</v>
      </c>
      <c r="AE229" s="22">
        <f t="shared" ref="AE229" si="842">IF(Y229&gt;0,W229,S229)</f>
        <v>6898.64</v>
      </c>
      <c r="AF229" s="22">
        <f t="shared" si="713"/>
        <v>6495.84</v>
      </c>
      <c r="AG229" s="110">
        <f t="shared" si="714"/>
        <v>743</v>
      </c>
      <c r="AH229" s="110">
        <f t="shared" si="715"/>
        <v>1725</v>
      </c>
      <c r="AI229" s="129">
        <f t="shared" si="716"/>
        <v>248</v>
      </c>
      <c r="AJ229" s="110">
        <f t="shared" si="717"/>
        <v>575</v>
      </c>
      <c r="AM229" s="110">
        <f t="shared" si="718"/>
        <v>743.45</v>
      </c>
      <c r="AN229" s="110">
        <f t="shared" si="719"/>
        <v>1679.82</v>
      </c>
      <c r="AQ229" s="110">
        <f t="shared" si="720"/>
        <v>1486.45</v>
      </c>
      <c r="AR229" s="110">
        <f t="shared" si="721"/>
        <v>3404.8199999999997</v>
      </c>
      <c r="AT229" s="141"/>
      <c r="AU229" s="141">
        <f t="shared" si="807"/>
        <v>743.45</v>
      </c>
      <c r="AV229" s="141">
        <f>ROUND(AE229*25%,2)</f>
        <v>1724.66</v>
      </c>
      <c r="AW229" s="141"/>
      <c r="AX229" s="145">
        <f>277.24+330</f>
        <v>607.24</v>
      </c>
      <c r="AY229" s="118">
        <f t="shared" si="699"/>
        <v>2477.9</v>
      </c>
      <c r="AZ229" s="110">
        <f t="shared" si="700"/>
        <v>6311.7199999999993</v>
      </c>
      <c r="BA229" s="110">
        <f t="shared" si="701"/>
        <v>8789.619999999999</v>
      </c>
      <c r="BB229" s="155">
        <v>2449.81</v>
      </c>
      <c r="BC229" s="142">
        <v>6167.91</v>
      </c>
      <c r="BD229" s="142">
        <f t="shared" si="702"/>
        <v>28.090000000000146</v>
      </c>
      <c r="BE229" s="142">
        <f t="shared" si="703"/>
        <v>143.80999999999949</v>
      </c>
      <c r="BF229" s="142">
        <f t="shared" si="704"/>
        <v>489.96</v>
      </c>
      <c r="BG229" s="142">
        <f t="shared" si="705"/>
        <v>1233.58</v>
      </c>
      <c r="BH229" s="110">
        <v>230.94</v>
      </c>
      <c r="BI229" s="110">
        <v>475</v>
      </c>
      <c r="BJ229" s="110">
        <v>16.18</v>
      </c>
      <c r="BK229" s="110">
        <v>100</v>
      </c>
      <c r="BL229" s="110">
        <f t="shared" si="736"/>
        <v>2725.02</v>
      </c>
      <c r="BM229" s="110">
        <f t="shared" si="737"/>
        <v>6886.7199999999993</v>
      </c>
      <c r="BN229" s="110">
        <f t="shared" si="738"/>
        <v>9611.74</v>
      </c>
      <c r="BO229" s="110">
        <v>2698.52</v>
      </c>
      <c r="BP229" s="129">
        <v>6896.34</v>
      </c>
      <c r="BQ229" s="110">
        <f t="shared" si="739"/>
        <v>26.5</v>
      </c>
      <c r="BR229" s="110">
        <f t="shared" si="740"/>
        <v>-9.6200000000008004</v>
      </c>
      <c r="BS229" s="110">
        <f t="shared" si="741"/>
        <v>245.32</v>
      </c>
      <c r="BT229" s="110">
        <f t="shared" si="742"/>
        <v>626.94000000000005</v>
      </c>
      <c r="BU229" s="146">
        <v>256</v>
      </c>
      <c r="BV229" s="111">
        <v>600</v>
      </c>
      <c r="BW229" s="111"/>
      <c r="BX229" s="111"/>
      <c r="BY229" s="111"/>
      <c r="BZ229" s="111"/>
      <c r="CA229" s="110">
        <f t="shared" si="743"/>
        <v>2981.02</v>
      </c>
      <c r="CB229" s="110">
        <f t="shared" si="744"/>
        <v>7486.7199999999993</v>
      </c>
    </row>
    <row r="230" spans="1:80" ht="18" x14ac:dyDescent="0.3">
      <c r="A230" s="18">
        <v>4</v>
      </c>
      <c r="B230" s="18" t="s">
        <v>374</v>
      </c>
      <c r="C230" s="19" t="s">
        <v>23</v>
      </c>
      <c r="D230" s="20" t="s">
        <v>375</v>
      </c>
      <c r="E230" s="21" t="s">
        <v>376</v>
      </c>
      <c r="F230" s="82">
        <v>2675.9799999999996</v>
      </c>
      <c r="G230" s="82">
        <v>312.67999999999995</v>
      </c>
      <c r="H230" s="82">
        <v>2675.9799999999996</v>
      </c>
      <c r="I230" s="22">
        <v>312.67999999999995</v>
      </c>
      <c r="J230" s="89">
        <v>2990.7</v>
      </c>
      <c r="K230" s="89">
        <v>0</v>
      </c>
      <c r="L230" s="89">
        <v>0.3</v>
      </c>
      <c r="M230" s="89">
        <f t="shared" si="836"/>
        <v>2991</v>
      </c>
      <c r="N230" s="89">
        <v>0</v>
      </c>
      <c r="O230" s="89">
        <v>0</v>
      </c>
      <c r="P230" s="89">
        <v>0</v>
      </c>
      <c r="Q230" s="89">
        <f t="shared" si="837"/>
        <v>0</v>
      </c>
      <c r="R230" s="89">
        <f t="shared" si="838"/>
        <v>2991</v>
      </c>
      <c r="S230" s="89">
        <v>220</v>
      </c>
      <c r="V230" s="22">
        <f t="shared" si="839"/>
        <v>2831.99</v>
      </c>
      <c r="W230" s="22">
        <f t="shared" si="840"/>
        <v>322.89999999999998</v>
      </c>
      <c r="X230" s="22">
        <f t="shared" si="709"/>
        <v>159.01000000000022</v>
      </c>
      <c r="Y230" s="22">
        <f t="shared" si="710"/>
        <v>-102.89999999999998</v>
      </c>
      <c r="Z230" s="22">
        <v>2831.99</v>
      </c>
      <c r="AA230" s="22"/>
      <c r="AB230" s="22">
        <f t="shared" si="711"/>
        <v>2831.99</v>
      </c>
      <c r="AC230" s="111">
        <f t="shared" si="712"/>
        <v>0</v>
      </c>
      <c r="AD230" s="22">
        <f t="shared" ref="AD230:AD233" si="843">IF(X230&gt;0,V230,R230)</f>
        <v>2831.99</v>
      </c>
      <c r="AE230" s="22">
        <f t="shared" ref="AE230:AE233" si="844">IF(Y230&gt;0,W230,S230)</f>
        <v>220</v>
      </c>
      <c r="AF230" s="22">
        <f t="shared" si="713"/>
        <v>198.48</v>
      </c>
      <c r="AG230" s="110">
        <f t="shared" si="714"/>
        <v>708</v>
      </c>
      <c r="AH230" s="110">
        <f t="shared" si="715"/>
        <v>55</v>
      </c>
      <c r="AI230" s="129">
        <f t="shared" si="716"/>
        <v>236</v>
      </c>
      <c r="AJ230" s="110">
        <f t="shared" si="717"/>
        <v>18</v>
      </c>
      <c r="AM230" s="110">
        <f t="shared" si="718"/>
        <v>708</v>
      </c>
      <c r="AN230" s="110">
        <f t="shared" si="719"/>
        <v>53.57</v>
      </c>
      <c r="AQ230" s="110">
        <f t="shared" si="720"/>
        <v>1416</v>
      </c>
      <c r="AR230" s="110">
        <f t="shared" si="721"/>
        <v>108.57</v>
      </c>
      <c r="AT230" s="141"/>
      <c r="AU230" s="141">
        <f t="shared" si="807"/>
        <v>708</v>
      </c>
      <c r="AV230" s="141">
        <f t="shared" si="765"/>
        <v>55</v>
      </c>
      <c r="AW230" s="145">
        <v>90</v>
      </c>
      <c r="AX230" s="141"/>
      <c r="AY230" s="118">
        <f t="shared" si="699"/>
        <v>2450</v>
      </c>
      <c r="AZ230" s="110">
        <f t="shared" si="700"/>
        <v>181.57</v>
      </c>
      <c r="BA230" s="110">
        <f t="shared" si="701"/>
        <v>2631.57</v>
      </c>
      <c r="BB230" s="155">
        <v>2402.94</v>
      </c>
      <c r="BC230" s="142">
        <v>69.319999999999993</v>
      </c>
      <c r="BD230" s="142">
        <f t="shared" si="702"/>
        <v>47.059999999999945</v>
      </c>
      <c r="BE230" s="142">
        <f t="shared" si="703"/>
        <v>112.25</v>
      </c>
      <c r="BF230" s="142">
        <f t="shared" si="704"/>
        <v>480.59</v>
      </c>
      <c r="BG230" s="142">
        <f t="shared" si="705"/>
        <v>13.86</v>
      </c>
      <c r="BH230" s="146">
        <v>247.5</v>
      </c>
      <c r="BI230" s="110">
        <v>0</v>
      </c>
      <c r="BL230" s="110">
        <f t="shared" si="736"/>
        <v>2697.5</v>
      </c>
      <c r="BM230" s="110">
        <f t="shared" si="737"/>
        <v>181.57</v>
      </c>
      <c r="BN230" s="110">
        <f t="shared" si="738"/>
        <v>2879.07</v>
      </c>
      <c r="BO230" s="110">
        <v>2690.44</v>
      </c>
      <c r="BP230" s="129">
        <v>75.45</v>
      </c>
      <c r="BQ230" s="110">
        <f t="shared" si="739"/>
        <v>7.0599999999999454</v>
      </c>
      <c r="BR230" s="110">
        <f t="shared" si="740"/>
        <v>106.11999999999999</v>
      </c>
      <c r="BS230" s="110">
        <f t="shared" si="741"/>
        <v>244.59</v>
      </c>
      <c r="BT230" s="110">
        <f t="shared" si="742"/>
        <v>6.86</v>
      </c>
      <c r="BU230" s="146">
        <v>257</v>
      </c>
      <c r="BV230" s="146">
        <v>0</v>
      </c>
      <c r="BW230" s="146"/>
      <c r="BX230" s="146"/>
      <c r="BY230" s="146"/>
      <c r="BZ230" s="146"/>
      <c r="CA230" s="110">
        <f t="shared" si="743"/>
        <v>2954.5</v>
      </c>
      <c r="CB230" s="110">
        <f t="shared" si="744"/>
        <v>181.57</v>
      </c>
    </row>
    <row r="231" spans="1:80" ht="18" x14ac:dyDescent="0.3">
      <c r="A231" s="18">
        <v>5</v>
      </c>
      <c r="B231" s="18" t="s">
        <v>377</v>
      </c>
      <c r="C231" s="19" t="s">
        <v>13</v>
      </c>
      <c r="D231" s="20" t="s">
        <v>378</v>
      </c>
      <c r="E231" s="21" t="s">
        <v>379</v>
      </c>
      <c r="F231" s="82">
        <v>3249.6799999999994</v>
      </c>
      <c r="G231" s="82">
        <v>2530.94</v>
      </c>
      <c r="H231" s="82">
        <v>3249.6799999999994</v>
      </c>
      <c r="I231" s="22">
        <v>2530.94</v>
      </c>
      <c r="J231" s="89">
        <v>4021.31</v>
      </c>
      <c r="K231" s="89">
        <v>0</v>
      </c>
      <c r="L231" s="89">
        <v>0.69</v>
      </c>
      <c r="M231" s="89">
        <f t="shared" si="836"/>
        <v>4022</v>
      </c>
      <c r="N231" s="89">
        <v>0</v>
      </c>
      <c r="O231" s="89">
        <v>0</v>
      </c>
      <c r="P231" s="89">
        <v>0</v>
      </c>
      <c r="Q231" s="89">
        <f t="shared" si="837"/>
        <v>0</v>
      </c>
      <c r="R231" s="89">
        <f t="shared" si="838"/>
        <v>4022</v>
      </c>
      <c r="S231" s="89">
        <v>3335</v>
      </c>
      <c r="V231" s="22">
        <f t="shared" si="839"/>
        <v>3439.14</v>
      </c>
      <c r="W231" s="22">
        <f t="shared" si="840"/>
        <v>2613.6999999999998</v>
      </c>
      <c r="X231" s="22">
        <f t="shared" si="709"/>
        <v>582.86000000000013</v>
      </c>
      <c r="Y231" s="22">
        <f t="shared" si="710"/>
        <v>721.30000000000018</v>
      </c>
      <c r="Z231" s="22">
        <v>3439.14</v>
      </c>
      <c r="AA231" s="22"/>
      <c r="AB231" s="22">
        <f t="shared" si="711"/>
        <v>3439.14</v>
      </c>
      <c r="AC231" s="111">
        <f t="shared" si="712"/>
        <v>0</v>
      </c>
      <c r="AD231" s="22">
        <f t="shared" si="843"/>
        <v>3439.14</v>
      </c>
      <c r="AE231" s="22">
        <f t="shared" si="844"/>
        <v>2613.6999999999998</v>
      </c>
      <c r="AF231" s="22">
        <f t="shared" si="713"/>
        <v>3008.84</v>
      </c>
      <c r="AG231" s="110">
        <f t="shared" si="714"/>
        <v>860</v>
      </c>
      <c r="AH231" s="110">
        <f t="shared" si="715"/>
        <v>653</v>
      </c>
      <c r="AI231" s="129">
        <f t="shared" si="716"/>
        <v>287</v>
      </c>
      <c r="AJ231" s="110">
        <f t="shared" si="717"/>
        <v>218</v>
      </c>
      <c r="AL231" s="146">
        <v>175</v>
      </c>
      <c r="AM231" s="110">
        <f t="shared" si="718"/>
        <v>859.79</v>
      </c>
      <c r="AN231" s="110">
        <f t="shared" si="719"/>
        <v>636.44000000000005</v>
      </c>
      <c r="AQ231" s="110">
        <f t="shared" si="720"/>
        <v>1719.79</v>
      </c>
      <c r="AR231" s="110">
        <f t="shared" si="721"/>
        <v>1464.44</v>
      </c>
      <c r="AT231" s="141"/>
      <c r="AU231" s="141">
        <f t="shared" si="807"/>
        <v>859.79</v>
      </c>
      <c r="AV231" s="141">
        <f>ROUND(AE231*25%,2)+396.57</f>
        <v>1050</v>
      </c>
      <c r="AW231" s="141"/>
      <c r="AX231" s="141"/>
      <c r="AY231" s="118">
        <f t="shared" si="699"/>
        <v>2866.58</v>
      </c>
      <c r="AZ231" s="110">
        <f t="shared" si="700"/>
        <v>2732.44</v>
      </c>
      <c r="BA231" s="110">
        <f t="shared" si="701"/>
        <v>5599.02</v>
      </c>
      <c r="BB231" s="155">
        <v>2774.17</v>
      </c>
      <c r="BC231" s="142">
        <v>2672.26</v>
      </c>
      <c r="BD231" s="142">
        <f t="shared" si="702"/>
        <v>92.409999999999854</v>
      </c>
      <c r="BE231" s="142">
        <f t="shared" si="703"/>
        <v>60.179999999999836</v>
      </c>
      <c r="BF231" s="142">
        <f t="shared" si="704"/>
        <v>554.83000000000004</v>
      </c>
      <c r="BG231" s="142">
        <f t="shared" si="705"/>
        <v>534.45000000000005</v>
      </c>
      <c r="BH231" s="110">
        <v>231.21</v>
      </c>
      <c r="BI231" s="110">
        <v>232.14</v>
      </c>
      <c r="BK231" s="110">
        <v>100</v>
      </c>
      <c r="BL231" s="110">
        <f t="shared" si="736"/>
        <v>3097.79</v>
      </c>
      <c r="BM231" s="110">
        <f t="shared" si="737"/>
        <v>3064.58</v>
      </c>
      <c r="BN231" s="110">
        <f t="shared" si="738"/>
        <v>6162.37</v>
      </c>
      <c r="BO231" s="110">
        <v>3065.97</v>
      </c>
      <c r="BP231" s="129">
        <v>2960.83</v>
      </c>
      <c r="BQ231" s="110">
        <f t="shared" si="739"/>
        <v>31.820000000000164</v>
      </c>
      <c r="BR231" s="110">
        <f t="shared" si="740"/>
        <v>103.75</v>
      </c>
      <c r="BS231" s="110">
        <f t="shared" si="741"/>
        <v>278.72000000000003</v>
      </c>
      <c r="BT231" s="110">
        <f t="shared" si="742"/>
        <v>269.17</v>
      </c>
      <c r="BU231" s="146">
        <v>275.20999999999998</v>
      </c>
      <c r="BV231" s="111">
        <v>250</v>
      </c>
      <c r="BW231" s="111"/>
      <c r="BX231" s="111">
        <v>35.42</v>
      </c>
      <c r="BY231" s="111"/>
      <c r="BZ231" s="111"/>
      <c r="CA231" s="110">
        <f t="shared" si="743"/>
        <v>3373</v>
      </c>
      <c r="CB231" s="110">
        <f t="shared" si="744"/>
        <v>3350</v>
      </c>
    </row>
    <row r="232" spans="1:80" ht="18" x14ac:dyDescent="0.3">
      <c r="A232" s="18">
        <v>6</v>
      </c>
      <c r="B232" s="18" t="s">
        <v>380</v>
      </c>
      <c r="C232" s="19" t="s">
        <v>153</v>
      </c>
      <c r="D232" s="20" t="s">
        <v>381</v>
      </c>
      <c r="E232" s="21" t="s">
        <v>382</v>
      </c>
      <c r="F232" s="82">
        <v>3079.9</v>
      </c>
      <c r="G232" s="82">
        <v>256.89999999999998</v>
      </c>
      <c r="H232" s="82">
        <v>3079.9</v>
      </c>
      <c r="I232" s="22">
        <v>256.89999999999998</v>
      </c>
      <c r="J232" s="89">
        <v>3500</v>
      </c>
      <c r="K232" s="89">
        <v>0</v>
      </c>
      <c r="L232" s="89">
        <v>0</v>
      </c>
      <c r="M232" s="89">
        <f t="shared" si="836"/>
        <v>3500</v>
      </c>
      <c r="N232" s="89">
        <v>0</v>
      </c>
      <c r="O232" s="89">
        <v>0</v>
      </c>
      <c r="P232" s="89">
        <v>0</v>
      </c>
      <c r="Q232" s="89">
        <f t="shared" si="837"/>
        <v>0</v>
      </c>
      <c r="R232" s="89">
        <f t="shared" si="838"/>
        <v>3500</v>
      </c>
      <c r="S232" s="89">
        <v>460</v>
      </c>
      <c r="V232" s="22">
        <f t="shared" si="839"/>
        <v>3259.46</v>
      </c>
      <c r="W232" s="22">
        <f t="shared" si="840"/>
        <v>265.3</v>
      </c>
      <c r="X232" s="22">
        <f t="shared" si="709"/>
        <v>240.53999999999996</v>
      </c>
      <c r="Y232" s="22">
        <f t="shared" si="710"/>
        <v>194.7</v>
      </c>
      <c r="Z232" s="22">
        <v>3259.46</v>
      </c>
      <c r="AA232" s="22"/>
      <c r="AB232" s="22">
        <f t="shared" si="711"/>
        <v>3259.46</v>
      </c>
      <c r="AC232" s="111">
        <f t="shared" si="712"/>
        <v>0</v>
      </c>
      <c r="AD232" s="22">
        <f t="shared" si="843"/>
        <v>3259.46</v>
      </c>
      <c r="AE232" s="22">
        <f t="shared" si="844"/>
        <v>265.3</v>
      </c>
      <c r="AF232" s="22">
        <f t="shared" si="713"/>
        <v>415.01</v>
      </c>
      <c r="AG232" s="110">
        <f t="shared" si="714"/>
        <v>815</v>
      </c>
      <c r="AH232" s="110">
        <f t="shared" si="715"/>
        <v>66</v>
      </c>
      <c r="AI232" s="129">
        <f t="shared" si="716"/>
        <v>272</v>
      </c>
      <c r="AJ232" s="110">
        <f t="shared" si="717"/>
        <v>22</v>
      </c>
      <c r="AM232" s="110">
        <f t="shared" si="718"/>
        <v>814.87</v>
      </c>
      <c r="AN232" s="110">
        <f t="shared" si="719"/>
        <v>64.599999999999994</v>
      </c>
      <c r="AQ232" s="110">
        <f t="shared" si="720"/>
        <v>1629.87</v>
      </c>
      <c r="AR232" s="110">
        <f t="shared" si="721"/>
        <v>130.6</v>
      </c>
      <c r="AT232" s="141"/>
      <c r="AU232" s="141">
        <f t="shared" si="807"/>
        <v>814.87</v>
      </c>
      <c r="AV232" s="141">
        <f>ROUND(AE232*25%,2)+20</f>
        <v>86.33</v>
      </c>
      <c r="AW232" s="141"/>
      <c r="AX232" s="141"/>
      <c r="AY232" s="118">
        <f t="shared" si="699"/>
        <v>2716.74</v>
      </c>
      <c r="AZ232" s="110">
        <f t="shared" si="700"/>
        <v>238.93</v>
      </c>
      <c r="BA232" s="110">
        <f t="shared" si="701"/>
        <v>2955.6699999999996</v>
      </c>
      <c r="BB232" s="155">
        <v>2769.48</v>
      </c>
      <c r="BC232" s="142">
        <v>220.24</v>
      </c>
      <c r="BD232" s="142">
        <f t="shared" si="702"/>
        <v>-52.740000000000236</v>
      </c>
      <c r="BE232" s="142">
        <f t="shared" si="703"/>
        <v>18.689999999999998</v>
      </c>
      <c r="BF232" s="142">
        <f t="shared" si="704"/>
        <v>553.9</v>
      </c>
      <c r="BG232" s="142">
        <f t="shared" si="705"/>
        <v>44.05</v>
      </c>
      <c r="BH232" s="110">
        <v>303.32</v>
      </c>
      <c r="BI232" s="110">
        <v>12.68</v>
      </c>
      <c r="BL232" s="110">
        <f t="shared" si="736"/>
        <v>3020.06</v>
      </c>
      <c r="BM232" s="110">
        <f t="shared" si="737"/>
        <v>251.61</v>
      </c>
      <c r="BN232" s="110">
        <f t="shared" si="738"/>
        <v>3271.67</v>
      </c>
      <c r="BO232" s="110">
        <v>3037.49</v>
      </c>
      <c r="BP232" s="129">
        <v>224.14</v>
      </c>
      <c r="BQ232" s="110">
        <f t="shared" si="739"/>
        <v>-17.429999999999836</v>
      </c>
      <c r="BR232" s="110">
        <f t="shared" si="740"/>
        <v>27.470000000000027</v>
      </c>
      <c r="BS232" s="110">
        <f t="shared" si="741"/>
        <v>276.14</v>
      </c>
      <c r="BT232" s="110">
        <f t="shared" si="742"/>
        <v>20.38</v>
      </c>
      <c r="BU232" s="110">
        <f t="shared" si="760"/>
        <v>293.56999999999982</v>
      </c>
      <c r="BV232" s="110">
        <v>0</v>
      </c>
      <c r="BW232" s="111">
        <v>36.369999999999997</v>
      </c>
      <c r="BX232" s="110">
        <f>100+38.39</f>
        <v>138.38999999999999</v>
      </c>
      <c r="CA232" s="110">
        <f t="shared" si="743"/>
        <v>3349.9999999999995</v>
      </c>
      <c r="CB232" s="110">
        <f t="shared" si="744"/>
        <v>390</v>
      </c>
    </row>
    <row r="233" spans="1:80" ht="18" x14ac:dyDescent="0.3">
      <c r="A233" s="13">
        <v>7</v>
      </c>
      <c r="B233" s="13"/>
      <c r="C233" s="14"/>
      <c r="D233" s="15" t="s">
        <v>383</v>
      </c>
      <c r="E233" s="16"/>
      <c r="F233" s="82">
        <v>6349.9999999999991</v>
      </c>
      <c r="G233" s="82">
        <v>7302.23</v>
      </c>
      <c r="H233" s="82">
        <v>6349.9999999999991</v>
      </c>
      <c r="I233" s="17">
        <v>7450</v>
      </c>
      <c r="J233" s="87">
        <v>8000</v>
      </c>
      <c r="K233" s="88">
        <v>0</v>
      </c>
      <c r="L233" s="88">
        <v>0</v>
      </c>
      <c r="M233" s="88">
        <f t="shared" ref="M233:M234" si="845">J233+K233+L233</f>
        <v>8000</v>
      </c>
      <c r="N233" s="88">
        <v>0</v>
      </c>
      <c r="O233" s="88">
        <v>0</v>
      </c>
      <c r="P233" s="88">
        <v>0</v>
      </c>
      <c r="Q233" s="88">
        <f t="shared" ref="Q233:Q234" si="846">N233+O233+P233</f>
        <v>0</v>
      </c>
      <c r="R233" s="88">
        <f t="shared" si="838"/>
        <v>8000</v>
      </c>
      <c r="S233" s="88">
        <v>8990</v>
      </c>
      <c r="V233" s="17">
        <f t="shared" si="839"/>
        <v>6720.21</v>
      </c>
      <c r="W233" s="17">
        <f t="shared" si="840"/>
        <v>7693.62</v>
      </c>
      <c r="X233" s="110">
        <f t="shared" si="709"/>
        <v>1279.79</v>
      </c>
      <c r="Y233" s="110">
        <f t="shared" si="710"/>
        <v>1296.3800000000001</v>
      </c>
      <c r="Z233" s="110">
        <v>6720.21</v>
      </c>
      <c r="AA233" s="110"/>
      <c r="AB233" s="110">
        <f t="shared" si="711"/>
        <v>6720.21</v>
      </c>
      <c r="AC233" s="111">
        <f t="shared" si="712"/>
        <v>0</v>
      </c>
      <c r="AD233" s="110">
        <f t="shared" si="843"/>
        <v>6720.21</v>
      </c>
      <c r="AE233" s="110">
        <f t="shared" si="844"/>
        <v>7693.62</v>
      </c>
      <c r="AF233" s="110">
        <f t="shared" si="713"/>
        <v>8110.78</v>
      </c>
      <c r="AG233" s="110">
        <f t="shared" si="714"/>
        <v>1680</v>
      </c>
      <c r="AH233" s="110">
        <f t="shared" si="715"/>
        <v>1923</v>
      </c>
      <c r="AI233" s="129">
        <f t="shared" si="716"/>
        <v>560</v>
      </c>
      <c r="AJ233" s="110">
        <f t="shared" si="717"/>
        <v>641</v>
      </c>
      <c r="AM233" s="110">
        <f t="shared" si="718"/>
        <v>1680.05</v>
      </c>
      <c r="AN233" s="110">
        <f t="shared" si="719"/>
        <v>1873.4</v>
      </c>
      <c r="AQ233" s="110">
        <f t="shared" si="720"/>
        <v>3360.05</v>
      </c>
      <c r="AR233" s="110">
        <f t="shared" si="721"/>
        <v>3796.4</v>
      </c>
      <c r="AT233" s="141"/>
      <c r="AU233" s="141">
        <f t="shared" si="807"/>
        <v>1680.05</v>
      </c>
      <c r="AV233" s="141">
        <f t="shared" si="765"/>
        <v>1923.41</v>
      </c>
      <c r="AW233" s="141"/>
      <c r="AX233" s="141"/>
      <c r="AY233" s="118">
        <f t="shared" si="699"/>
        <v>5600.1</v>
      </c>
      <c r="AZ233" s="110">
        <f t="shared" si="700"/>
        <v>6360.81</v>
      </c>
      <c r="BA233" s="110">
        <f t="shared" si="701"/>
        <v>11960.91</v>
      </c>
      <c r="BB233" s="155">
        <v>5524.79</v>
      </c>
      <c r="BC233" s="142">
        <v>6677.92</v>
      </c>
      <c r="BD233" s="142">
        <f t="shared" si="702"/>
        <v>75.3100000000004</v>
      </c>
      <c r="BE233" s="142">
        <f t="shared" si="703"/>
        <v>-317.10999999999967</v>
      </c>
      <c r="BF233" s="142">
        <f t="shared" si="704"/>
        <v>1104.96</v>
      </c>
      <c r="BG233" s="142">
        <f t="shared" si="705"/>
        <v>1335.58</v>
      </c>
      <c r="BH233" s="110">
        <v>514.83000000000004</v>
      </c>
      <c r="BI233" s="110">
        <v>776.35</v>
      </c>
      <c r="BL233" s="110">
        <f t="shared" si="736"/>
        <v>6114.93</v>
      </c>
      <c r="BM233" s="110">
        <f t="shared" si="737"/>
        <v>7137.1600000000008</v>
      </c>
      <c r="BN233" s="110">
        <f t="shared" si="738"/>
        <v>13252.09</v>
      </c>
      <c r="BO233" s="110">
        <v>6090.08</v>
      </c>
      <c r="BP233" s="129">
        <v>7297.64</v>
      </c>
      <c r="BQ233" s="110">
        <f t="shared" si="739"/>
        <v>24.850000000000364</v>
      </c>
      <c r="BR233" s="110">
        <f t="shared" si="740"/>
        <v>-160.47999999999956</v>
      </c>
      <c r="BS233" s="110">
        <f t="shared" si="741"/>
        <v>553.64</v>
      </c>
      <c r="BT233" s="110">
        <f t="shared" si="742"/>
        <v>663.42</v>
      </c>
      <c r="BU233" s="110">
        <f t="shared" si="760"/>
        <v>528.78999999999962</v>
      </c>
      <c r="BV233" s="110">
        <f>ROUND(BT233-BR233,2)</f>
        <v>823.9</v>
      </c>
      <c r="BW233" s="111">
        <v>76.28</v>
      </c>
      <c r="BX233" s="110">
        <v>138.94</v>
      </c>
      <c r="CA233" s="110">
        <f t="shared" si="743"/>
        <v>6720</v>
      </c>
      <c r="CB233" s="110">
        <f t="shared" si="744"/>
        <v>8100</v>
      </c>
    </row>
    <row r="234" spans="1:80" ht="18" x14ac:dyDescent="0.3">
      <c r="A234" s="13">
        <v>8</v>
      </c>
      <c r="B234" s="13"/>
      <c r="C234" s="14"/>
      <c r="D234" s="15" t="s">
        <v>384</v>
      </c>
      <c r="E234" s="16"/>
      <c r="F234" s="82">
        <v>0</v>
      </c>
      <c r="G234" s="82">
        <v>0</v>
      </c>
      <c r="H234" s="82">
        <v>0</v>
      </c>
      <c r="I234" s="17">
        <v>0</v>
      </c>
      <c r="J234" s="87">
        <v>0</v>
      </c>
      <c r="K234" s="88">
        <v>0</v>
      </c>
      <c r="L234" s="88">
        <v>0</v>
      </c>
      <c r="M234" s="88">
        <f t="shared" si="845"/>
        <v>0</v>
      </c>
      <c r="N234" s="88">
        <v>0</v>
      </c>
      <c r="O234" s="88">
        <v>0</v>
      </c>
      <c r="P234" s="88">
        <v>0</v>
      </c>
      <c r="Q234" s="88">
        <f t="shared" si="846"/>
        <v>0</v>
      </c>
      <c r="R234" s="88">
        <f t="shared" si="838"/>
        <v>0</v>
      </c>
      <c r="S234" s="88">
        <v>0</v>
      </c>
      <c r="V234" s="17">
        <f t="shared" si="839"/>
        <v>0</v>
      </c>
      <c r="W234" s="17">
        <f t="shared" si="840"/>
        <v>0</v>
      </c>
      <c r="X234" s="110">
        <f t="shared" si="709"/>
        <v>0</v>
      </c>
      <c r="Y234" s="110">
        <f t="shared" si="710"/>
        <v>0</v>
      </c>
      <c r="Z234" s="110">
        <v>0</v>
      </c>
      <c r="AA234" s="110"/>
      <c r="AB234" s="110">
        <f t="shared" si="711"/>
        <v>0</v>
      </c>
      <c r="AC234" s="111">
        <f t="shared" si="712"/>
        <v>0</v>
      </c>
      <c r="AD234" s="110">
        <f t="shared" ref="AD234" si="847">IF(X234&gt;0,V234,R234)</f>
        <v>0</v>
      </c>
      <c r="AE234" s="110">
        <f t="shared" ref="AE234" si="848">IF(Y234&gt;0,W234,S234)</f>
        <v>0</v>
      </c>
      <c r="AF234" s="110">
        <f t="shared" si="713"/>
        <v>0</v>
      </c>
      <c r="AG234" s="110">
        <f t="shared" si="714"/>
        <v>0</v>
      </c>
      <c r="AH234" s="110">
        <f t="shared" si="715"/>
        <v>0</v>
      </c>
      <c r="AI234" s="129">
        <f t="shared" si="716"/>
        <v>0</v>
      </c>
      <c r="AJ234" s="110">
        <f t="shared" si="717"/>
        <v>0</v>
      </c>
      <c r="AM234" s="110">
        <f t="shared" si="718"/>
        <v>0</v>
      </c>
      <c r="AN234" s="110">
        <f t="shared" si="719"/>
        <v>0</v>
      </c>
      <c r="AQ234" s="110">
        <f t="shared" si="720"/>
        <v>0</v>
      </c>
      <c r="AR234" s="110">
        <f t="shared" si="721"/>
        <v>0</v>
      </c>
      <c r="AU234" s="110">
        <f t="shared" si="807"/>
        <v>0</v>
      </c>
      <c r="AV234" s="110">
        <f t="shared" si="765"/>
        <v>0</v>
      </c>
      <c r="AY234" s="110">
        <f t="shared" si="699"/>
        <v>0</v>
      </c>
      <c r="AZ234" s="110">
        <f t="shared" si="700"/>
        <v>0</v>
      </c>
      <c r="BA234" s="110">
        <f t="shared" si="701"/>
        <v>0</v>
      </c>
      <c r="BB234" s="155">
        <v>0</v>
      </c>
      <c r="BD234" s="142">
        <f t="shared" si="702"/>
        <v>0</v>
      </c>
      <c r="BE234" s="142">
        <f t="shared" si="703"/>
        <v>0</v>
      </c>
      <c r="BF234" s="142">
        <f t="shared" si="704"/>
        <v>0</v>
      </c>
      <c r="BG234" s="142">
        <f t="shared" si="705"/>
        <v>0</v>
      </c>
      <c r="BH234" s="110">
        <v>0</v>
      </c>
      <c r="BI234" s="110">
        <v>0</v>
      </c>
      <c r="BL234" s="110">
        <f t="shared" si="736"/>
        <v>0</v>
      </c>
      <c r="BM234" s="110">
        <f t="shared" si="737"/>
        <v>0</v>
      </c>
      <c r="BN234" s="110">
        <f t="shared" si="738"/>
        <v>0</v>
      </c>
      <c r="BO234" s="110">
        <v>0</v>
      </c>
      <c r="BP234" s="129"/>
      <c r="BQ234" s="110">
        <f t="shared" si="739"/>
        <v>0</v>
      </c>
      <c r="BR234" s="110">
        <f t="shared" si="740"/>
        <v>0</v>
      </c>
      <c r="BS234" s="110">
        <f t="shared" si="741"/>
        <v>0</v>
      </c>
      <c r="BT234" s="110">
        <f t="shared" si="742"/>
        <v>0</v>
      </c>
      <c r="BU234" s="110">
        <f t="shared" si="760"/>
        <v>0</v>
      </c>
      <c r="BV234" s="110">
        <f t="shared" ref="BV234:BV237" si="849">ROUND(BT234-BR234,2)</f>
        <v>0</v>
      </c>
      <c r="CA234" s="110">
        <f t="shared" si="743"/>
        <v>0</v>
      </c>
      <c r="CB234" s="110">
        <f t="shared" si="744"/>
        <v>0</v>
      </c>
    </row>
    <row r="235" spans="1:80" ht="18" x14ac:dyDescent="0.3">
      <c r="A235" s="18"/>
      <c r="B235" s="18" t="s">
        <v>385</v>
      </c>
      <c r="C235" s="19" t="s">
        <v>153</v>
      </c>
      <c r="D235" s="20" t="s">
        <v>383</v>
      </c>
      <c r="E235" s="21" t="s">
        <v>386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9">
        <f t="shared" ref="J235:AA235" si="850">+J233+J234</f>
        <v>8000</v>
      </c>
      <c r="K235" s="89">
        <f t="shared" si="850"/>
        <v>0</v>
      </c>
      <c r="L235" s="89">
        <f t="shared" si="850"/>
        <v>0</v>
      </c>
      <c r="M235" s="89">
        <f t="shared" si="850"/>
        <v>8000</v>
      </c>
      <c r="N235" s="89">
        <f t="shared" si="850"/>
        <v>0</v>
      </c>
      <c r="O235" s="89">
        <f t="shared" si="850"/>
        <v>0</v>
      </c>
      <c r="P235" s="89">
        <f t="shared" si="850"/>
        <v>0</v>
      </c>
      <c r="Q235" s="89">
        <f t="shared" si="850"/>
        <v>0</v>
      </c>
      <c r="R235" s="89">
        <f t="shared" si="850"/>
        <v>8000</v>
      </c>
      <c r="S235" s="89">
        <f t="shared" si="850"/>
        <v>8990</v>
      </c>
      <c r="T235" s="89">
        <f t="shared" si="850"/>
        <v>0</v>
      </c>
      <c r="U235" s="89">
        <f t="shared" si="850"/>
        <v>0</v>
      </c>
      <c r="V235" s="89">
        <f t="shared" si="850"/>
        <v>6720.21</v>
      </c>
      <c r="W235" s="89">
        <f t="shared" si="850"/>
        <v>7693.62</v>
      </c>
      <c r="X235" s="89">
        <f t="shared" si="850"/>
        <v>1279.79</v>
      </c>
      <c r="Y235" s="89">
        <f t="shared" si="850"/>
        <v>1296.3800000000001</v>
      </c>
      <c r="Z235" s="89">
        <f t="shared" si="850"/>
        <v>6720.21</v>
      </c>
      <c r="AA235" s="89">
        <f t="shared" si="850"/>
        <v>0</v>
      </c>
      <c r="AB235" s="22">
        <f t="shared" si="711"/>
        <v>6720.21</v>
      </c>
      <c r="AC235" s="111">
        <f t="shared" si="712"/>
        <v>0</v>
      </c>
      <c r="AD235" s="22">
        <f t="shared" ref="AD235:CB235" si="851">+AD233+AD234</f>
        <v>6720.21</v>
      </c>
      <c r="AE235" s="22">
        <f t="shared" si="851"/>
        <v>7693.62</v>
      </c>
      <c r="AF235" s="22">
        <f t="shared" si="851"/>
        <v>8110.78</v>
      </c>
      <c r="AG235" s="22">
        <f t="shared" si="851"/>
        <v>1680</v>
      </c>
      <c r="AH235" s="22">
        <f t="shared" si="851"/>
        <v>1923</v>
      </c>
      <c r="AI235" s="120">
        <f t="shared" si="851"/>
        <v>560</v>
      </c>
      <c r="AJ235" s="22">
        <f t="shared" si="851"/>
        <v>641</v>
      </c>
      <c r="AK235" s="22">
        <f t="shared" si="851"/>
        <v>0</v>
      </c>
      <c r="AL235" s="22">
        <f t="shared" si="851"/>
        <v>0</v>
      </c>
      <c r="AM235" s="22">
        <f t="shared" si="851"/>
        <v>1680.05</v>
      </c>
      <c r="AN235" s="22">
        <f t="shared" si="851"/>
        <v>1873.4</v>
      </c>
      <c r="AO235" s="22">
        <f t="shared" si="851"/>
        <v>0</v>
      </c>
      <c r="AP235" s="22">
        <f t="shared" si="851"/>
        <v>0</v>
      </c>
      <c r="AQ235" s="22">
        <f t="shared" si="851"/>
        <v>3360.05</v>
      </c>
      <c r="AR235" s="22">
        <f t="shared" si="851"/>
        <v>3796.4</v>
      </c>
      <c r="AS235" s="22">
        <f t="shared" si="851"/>
        <v>0</v>
      </c>
      <c r="AT235" s="22">
        <f t="shared" si="851"/>
        <v>0</v>
      </c>
      <c r="AU235" s="22">
        <f t="shared" si="851"/>
        <v>1680.05</v>
      </c>
      <c r="AV235" s="22">
        <f t="shared" si="851"/>
        <v>1923.41</v>
      </c>
      <c r="AW235" s="22">
        <f t="shared" si="851"/>
        <v>0</v>
      </c>
      <c r="AX235" s="22">
        <f t="shared" si="851"/>
        <v>0</v>
      </c>
      <c r="AY235" s="22">
        <f t="shared" si="851"/>
        <v>5600.1</v>
      </c>
      <c r="AZ235" s="22">
        <f t="shared" si="851"/>
        <v>6360.81</v>
      </c>
      <c r="BA235" s="22">
        <f t="shared" si="851"/>
        <v>11960.91</v>
      </c>
      <c r="BB235" s="22">
        <f t="shared" si="851"/>
        <v>5524.79</v>
      </c>
      <c r="BC235" s="22">
        <f t="shared" si="851"/>
        <v>6677.92</v>
      </c>
      <c r="BD235" s="22">
        <f t="shared" si="851"/>
        <v>75.3100000000004</v>
      </c>
      <c r="BE235" s="22">
        <f t="shared" si="851"/>
        <v>-317.10999999999967</v>
      </c>
      <c r="BF235" s="22">
        <f t="shared" si="851"/>
        <v>1104.96</v>
      </c>
      <c r="BG235" s="120">
        <f t="shared" si="851"/>
        <v>1335.58</v>
      </c>
      <c r="BH235" s="120">
        <f t="shared" si="851"/>
        <v>514.83000000000004</v>
      </c>
      <c r="BI235" s="120">
        <f t="shared" si="851"/>
        <v>776.35</v>
      </c>
      <c r="BJ235" s="120">
        <f t="shared" si="851"/>
        <v>0</v>
      </c>
      <c r="BK235" s="120">
        <f t="shared" si="851"/>
        <v>0</v>
      </c>
      <c r="BL235" s="120">
        <f t="shared" si="851"/>
        <v>6114.93</v>
      </c>
      <c r="BM235" s="120">
        <f t="shared" si="851"/>
        <v>7137.1600000000008</v>
      </c>
      <c r="BN235" s="120">
        <f t="shared" si="851"/>
        <v>13252.09</v>
      </c>
      <c r="BO235" s="120">
        <f t="shared" si="851"/>
        <v>6090.08</v>
      </c>
      <c r="BP235" s="120">
        <f t="shared" si="851"/>
        <v>7297.64</v>
      </c>
      <c r="BQ235" s="22">
        <f t="shared" si="851"/>
        <v>24.850000000000364</v>
      </c>
      <c r="BR235" s="22">
        <f t="shared" si="851"/>
        <v>-160.47999999999956</v>
      </c>
      <c r="BS235" s="22">
        <f t="shared" si="851"/>
        <v>553.64</v>
      </c>
      <c r="BT235" s="22">
        <f t="shared" si="851"/>
        <v>663.42</v>
      </c>
      <c r="BU235" s="22">
        <f t="shared" si="851"/>
        <v>528.78999999999962</v>
      </c>
      <c r="BV235" s="22">
        <f t="shared" si="851"/>
        <v>823.9</v>
      </c>
      <c r="BW235" s="22">
        <f t="shared" si="851"/>
        <v>76.28</v>
      </c>
      <c r="BX235" s="22">
        <f t="shared" si="851"/>
        <v>138.94</v>
      </c>
      <c r="BY235" s="22">
        <f t="shared" si="851"/>
        <v>0</v>
      </c>
      <c r="BZ235" s="22">
        <f t="shared" si="851"/>
        <v>0</v>
      </c>
      <c r="CA235" s="22">
        <f t="shared" si="851"/>
        <v>6720</v>
      </c>
      <c r="CB235" s="22">
        <f t="shared" si="851"/>
        <v>8100</v>
      </c>
    </row>
    <row r="236" spans="1:80" ht="18" x14ac:dyDescent="0.3">
      <c r="A236" s="13">
        <v>9</v>
      </c>
      <c r="B236" s="13"/>
      <c r="C236" s="14"/>
      <c r="D236" s="15" t="s">
        <v>387</v>
      </c>
      <c r="E236" s="16"/>
      <c r="F236" s="82">
        <v>1382.9899999999998</v>
      </c>
      <c r="G236" s="82">
        <v>155.43</v>
      </c>
      <c r="H236" s="82">
        <v>1382.9899999999998</v>
      </c>
      <c r="I236" s="17">
        <v>155.43</v>
      </c>
      <c r="J236" s="87">
        <v>1600</v>
      </c>
      <c r="K236" s="88"/>
      <c r="L236" s="88">
        <v>0.5</v>
      </c>
      <c r="M236" s="88">
        <f t="shared" ref="M236:M237" si="852">J236+K236+L236</f>
        <v>1600.5</v>
      </c>
      <c r="N236" s="88">
        <v>0</v>
      </c>
      <c r="O236" s="88">
        <v>0</v>
      </c>
      <c r="P236" s="88">
        <v>0</v>
      </c>
      <c r="Q236" s="88">
        <f t="shared" ref="Q236:Q237" si="853">N236+O236+P236</f>
        <v>0</v>
      </c>
      <c r="R236" s="88">
        <f t="shared" ref="R236:R237" si="854">+Q236+M236</f>
        <v>1600.5</v>
      </c>
      <c r="S236" s="88">
        <v>240</v>
      </c>
      <c r="V236" s="17">
        <f t="shared" ref="V236:V237" si="855">ROUND(H236*1.0583,2)</f>
        <v>1463.62</v>
      </c>
      <c r="W236" s="17">
        <f t="shared" ref="W236:W237" si="856">ROUND(I236*1.0327,2)</f>
        <v>160.51</v>
      </c>
      <c r="X236" s="110">
        <f t="shared" si="709"/>
        <v>136.88000000000011</v>
      </c>
      <c r="Y236" s="110">
        <f t="shared" si="710"/>
        <v>79.490000000000009</v>
      </c>
      <c r="Z236" s="110">
        <v>1463.62</v>
      </c>
      <c r="AA236" s="110"/>
      <c r="AB236" s="110">
        <f t="shared" si="711"/>
        <v>1463.62</v>
      </c>
      <c r="AC236" s="111">
        <f t="shared" si="712"/>
        <v>0</v>
      </c>
      <c r="AD236" s="110">
        <f t="shared" ref="AD236" si="857">IF(X236&gt;0,V236,R236)</f>
        <v>1463.62</v>
      </c>
      <c r="AE236" s="110">
        <f t="shared" ref="AE236" si="858">IF(Y236&gt;0,W236,S236)</f>
        <v>160.51</v>
      </c>
      <c r="AF236" s="110">
        <f t="shared" si="713"/>
        <v>216.53</v>
      </c>
      <c r="AG236" s="110">
        <f t="shared" si="714"/>
        <v>366</v>
      </c>
      <c r="AH236" s="110">
        <f t="shared" si="715"/>
        <v>40</v>
      </c>
      <c r="AI236" s="129">
        <f t="shared" si="716"/>
        <v>122</v>
      </c>
      <c r="AJ236" s="110">
        <f t="shared" si="717"/>
        <v>13</v>
      </c>
      <c r="AM236" s="110">
        <f t="shared" si="718"/>
        <v>365.91</v>
      </c>
      <c r="AN236" s="110">
        <f t="shared" si="719"/>
        <v>39.08</v>
      </c>
      <c r="AQ236" s="110">
        <f t="shared" si="720"/>
        <v>731.91000000000008</v>
      </c>
      <c r="AR236" s="110">
        <f t="shared" si="721"/>
        <v>79.08</v>
      </c>
      <c r="AU236" s="118">
        <f t="shared" si="807"/>
        <v>365.91</v>
      </c>
      <c r="AV236" s="118">
        <f t="shared" si="765"/>
        <v>40.130000000000003</v>
      </c>
      <c r="AW236" s="146">
        <v>150</v>
      </c>
      <c r="AX236" s="118"/>
      <c r="AY236" s="110">
        <f t="shared" si="699"/>
        <v>1369.8200000000002</v>
      </c>
      <c r="AZ236" s="110">
        <f t="shared" si="700"/>
        <v>132.21</v>
      </c>
      <c r="BA236" s="110">
        <f t="shared" si="701"/>
        <v>1502.0300000000002</v>
      </c>
      <c r="BB236" s="155">
        <v>1259.0999999999999</v>
      </c>
      <c r="BC236" s="142">
        <v>229.06</v>
      </c>
      <c r="BD236" s="142">
        <f t="shared" si="702"/>
        <v>110.72000000000025</v>
      </c>
      <c r="BE236" s="142">
        <f t="shared" si="703"/>
        <v>-96.85</v>
      </c>
      <c r="BF236" s="142">
        <f t="shared" si="704"/>
        <v>251.82</v>
      </c>
      <c r="BG236" s="142">
        <f t="shared" si="705"/>
        <v>45.81</v>
      </c>
      <c r="BH236" s="110">
        <v>70.55</v>
      </c>
      <c r="BI236" s="110">
        <v>62.5</v>
      </c>
      <c r="BL236" s="110">
        <f t="shared" si="736"/>
        <v>1440.3700000000001</v>
      </c>
      <c r="BM236" s="110">
        <f t="shared" si="737"/>
        <v>194.71</v>
      </c>
      <c r="BN236" s="110">
        <f t="shared" si="738"/>
        <v>1635.0800000000002</v>
      </c>
      <c r="BO236" s="110">
        <v>1383.92</v>
      </c>
      <c r="BP236" s="129">
        <v>268.27</v>
      </c>
      <c r="BQ236" s="110">
        <f t="shared" si="739"/>
        <v>56.450000000000045</v>
      </c>
      <c r="BR236" s="110">
        <f t="shared" si="740"/>
        <v>-73.559999999999974</v>
      </c>
      <c r="BS236" s="110">
        <f t="shared" si="741"/>
        <v>125.81</v>
      </c>
      <c r="BT236" s="110">
        <f t="shared" si="742"/>
        <v>24.39</v>
      </c>
      <c r="BU236" s="110">
        <f t="shared" si="760"/>
        <v>69.359999999999957</v>
      </c>
      <c r="BV236" s="110">
        <v>82.95</v>
      </c>
      <c r="BW236" s="111">
        <v>100</v>
      </c>
      <c r="BX236" s="110">
        <v>45</v>
      </c>
      <c r="CA236" s="110">
        <f t="shared" si="743"/>
        <v>1609.73</v>
      </c>
      <c r="CB236" s="110">
        <f t="shared" si="744"/>
        <v>322.66000000000003</v>
      </c>
    </row>
    <row r="237" spans="1:80" ht="18" x14ac:dyDescent="0.3">
      <c r="A237" s="13">
        <v>10</v>
      </c>
      <c r="B237" s="13"/>
      <c r="C237" s="14"/>
      <c r="D237" s="15" t="s">
        <v>388</v>
      </c>
      <c r="E237" s="16"/>
      <c r="F237" s="82">
        <v>0</v>
      </c>
      <c r="G237" s="82">
        <v>0</v>
      </c>
      <c r="H237" s="82">
        <v>0</v>
      </c>
      <c r="I237" s="17">
        <v>0</v>
      </c>
      <c r="J237" s="87">
        <v>0</v>
      </c>
      <c r="K237" s="88">
        <v>0</v>
      </c>
      <c r="L237" s="88">
        <v>0</v>
      </c>
      <c r="M237" s="88">
        <f t="shared" si="852"/>
        <v>0</v>
      </c>
      <c r="N237" s="88">
        <v>0</v>
      </c>
      <c r="O237" s="88">
        <v>0</v>
      </c>
      <c r="P237" s="88">
        <v>0</v>
      </c>
      <c r="Q237" s="88">
        <f t="shared" si="853"/>
        <v>0</v>
      </c>
      <c r="R237" s="88">
        <f t="shared" si="854"/>
        <v>0</v>
      </c>
      <c r="S237" s="88">
        <v>0</v>
      </c>
      <c r="V237" s="17">
        <f t="shared" si="855"/>
        <v>0</v>
      </c>
      <c r="W237" s="17">
        <f t="shared" si="856"/>
        <v>0</v>
      </c>
      <c r="X237" s="110">
        <f t="shared" si="709"/>
        <v>0</v>
      </c>
      <c r="Y237" s="110">
        <f t="shared" si="710"/>
        <v>0</v>
      </c>
      <c r="Z237" s="110">
        <v>0</v>
      </c>
      <c r="AA237" s="110"/>
      <c r="AB237" s="110">
        <f t="shared" si="711"/>
        <v>0</v>
      </c>
      <c r="AC237" s="111">
        <f t="shared" si="712"/>
        <v>0</v>
      </c>
      <c r="AD237" s="110">
        <f t="shared" ref="AD237" si="859">IF(X237&gt;0,V237,R237)</f>
        <v>0</v>
      </c>
      <c r="AE237" s="110">
        <f t="shared" ref="AE237" si="860">IF(Y237&gt;0,W237,S237)</f>
        <v>0</v>
      </c>
      <c r="AF237" s="110">
        <f t="shared" si="713"/>
        <v>0</v>
      </c>
      <c r="AG237" s="110">
        <f t="shared" si="714"/>
        <v>0</v>
      </c>
      <c r="AH237" s="110">
        <f t="shared" si="715"/>
        <v>0</v>
      </c>
      <c r="AI237" s="129">
        <f t="shared" si="716"/>
        <v>0</v>
      </c>
      <c r="AJ237" s="110">
        <f t="shared" si="717"/>
        <v>0</v>
      </c>
      <c r="AM237" s="110">
        <f t="shared" si="718"/>
        <v>0</v>
      </c>
      <c r="AN237" s="110">
        <f t="shared" si="719"/>
        <v>0</v>
      </c>
      <c r="AQ237" s="110">
        <f t="shared" si="720"/>
        <v>0</v>
      </c>
      <c r="AR237" s="110">
        <f t="shared" si="721"/>
        <v>0</v>
      </c>
      <c r="AU237" s="118">
        <f t="shared" si="807"/>
        <v>0</v>
      </c>
      <c r="AV237" s="118">
        <f t="shared" si="765"/>
        <v>0</v>
      </c>
      <c r="AW237" s="118"/>
      <c r="AX237" s="118"/>
      <c r="AY237" s="110">
        <f t="shared" si="699"/>
        <v>0</v>
      </c>
      <c r="AZ237" s="110">
        <f t="shared" si="700"/>
        <v>0</v>
      </c>
      <c r="BA237" s="110">
        <f t="shared" si="701"/>
        <v>0</v>
      </c>
      <c r="BB237" s="155">
        <v>0</v>
      </c>
      <c r="BD237" s="142">
        <f t="shared" si="702"/>
        <v>0</v>
      </c>
      <c r="BE237" s="142">
        <f t="shared" si="703"/>
        <v>0</v>
      </c>
      <c r="BF237" s="142">
        <f t="shared" si="704"/>
        <v>0</v>
      </c>
      <c r="BG237" s="142">
        <f t="shared" si="705"/>
        <v>0</v>
      </c>
      <c r="BH237" s="110">
        <v>0</v>
      </c>
      <c r="BI237" s="110">
        <v>0</v>
      </c>
      <c r="BL237" s="110">
        <f t="shared" si="736"/>
        <v>0</v>
      </c>
      <c r="BM237" s="110">
        <f t="shared" si="737"/>
        <v>0</v>
      </c>
      <c r="BN237" s="110">
        <f t="shared" si="738"/>
        <v>0</v>
      </c>
      <c r="BO237" s="110">
        <v>0</v>
      </c>
      <c r="BP237" s="129"/>
      <c r="BQ237" s="110">
        <f t="shared" si="739"/>
        <v>0</v>
      </c>
      <c r="BR237" s="110">
        <f t="shared" si="740"/>
        <v>0</v>
      </c>
      <c r="BS237" s="110">
        <f t="shared" si="741"/>
        <v>0</v>
      </c>
      <c r="BT237" s="110">
        <f t="shared" si="742"/>
        <v>0</v>
      </c>
      <c r="BU237" s="110">
        <f t="shared" si="760"/>
        <v>0</v>
      </c>
      <c r="BV237" s="110">
        <f t="shared" si="849"/>
        <v>0</v>
      </c>
      <c r="CA237" s="110">
        <f t="shared" si="743"/>
        <v>0</v>
      </c>
      <c r="CB237" s="110">
        <f t="shared" si="744"/>
        <v>0</v>
      </c>
    </row>
    <row r="238" spans="1:80" ht="18" x14ac:dyDescent="0.3">
      <c r="A238" s="18"/>
      <c r="B238" s="18" t="s">
        <v>389</v>
      </c>
      <c r="C238" s="19" t="s">
        <v>45</v>
      </c>
      <c r="D238" s="20" t="s">
        <v>387</v>
      </c>
      <c r="E238" s="21" t="s">
        <v>390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9">
        <f t="shared" ref="J238:AA238" si="861">+J236+J237</f>
        <v>1600</v>
      </c>
      <c r="K238" s="89">
        <f t="shared" si="861"/>
        <v>0</v>
      </c>
      <c r="L238" s="89">
        <f t="shared" si="861"/>
        <v>0.5</v>
      </c>
      <c r="M238" s="89">
        <f t="shared" si="861"/>
        <v>1600.5</v>
      </c>
      <c r="N238" s="89">
        <f t="shared" si="861"/>
        <v>0</v>
      </c>
      <c r="O238" s="89">
        <f t="shared" si="861"/>
        <v>0</v>
      </c>
      <c r="P238" s="89">
        <f t="shared" si="861"/>
        <v>0</v>
      </c>
      <c r="Q238" s="89">
        <f t="shared" si="861"/>
        <v>0</v>
      </c>
      <c r="R238" s="89">
        <f t="shared" si="861"/>
        <v>1600.5</v>
      </c>
      <c r="S238" s="89">
        <f t="shared" si="861"/>
        <v>240</v>
      </c>
      <c r="T238" s="89">
        <f t="shared" si="861"/>
        <v>0</v>
      </c>
      <c r="U238" s="89">
        <f t="shared" si="861"/>
        <v>0</v>
      </c>
      <c r="V238" s="89">
        <f t="shared" si="861"/>
        <v>1463.62</v>
      </c>
      <c r="W238" s="89">
        <f t="shared" si="861"/>
        <v>160.51</v>
      </c>
      <c r="X238" s="89">
        <f t="shared" si="861"/>
        <v>136.88000000000011</v>
      </c>
      <c r="Y238" s="89">
        <f t="shared" si="861"/>
        <v>79.490000000000009</v>
      </c>
      <c r="Z238" s="89">
        <f t="shared" si="861"/>
        <v>1463.62</v>
      </c>
      <c r="AA238" s="89">
        <f t="shared" si="861"/>
        <v>0</v>
      </c>
      <c r="AB238" s="22">
        <f t="shared" si="711"/>
        <v>1463.62</v>
      </c>
      <c r="AC238" s="111">
        <f t="shared" si="712"/>
        <v>0</v>
      </c>
      <c r="AD238" s="22">
        <f t="shared" ref="AD238:CB238" si="862">+AD236+AD237</f>
        <v>1463.62</v>
      </c>
      <c r="AE238" s="22">
        <f t="shared" si="862"/>
        <v>160.51</v>
      </c>
      <c r="AF238" s="22">
        <f t="shared" si="862"/>
        <v>216.53</v>
      </c>
      <c r="AG238" s="22">
        <f t="shared" si="862"/>
        <v>366</v>
      </c>
      <c r="AH238" s="22">
        <f t="shared" si="862"/>
        <v>40</v>
      </c>
      <c r="AI238" s="120">
        <f t="shared" si="862"/>
        <v>122</v>
      </c>
      <c r="AJ238" s="22">
        <f t="shared" si="862"/>
        <v>13</v>
      </c>
      <c r="AK238" s="22">
        <f t="shared" si="862"/>
        <v>0</v>
      </c>
      <c r="AL238" s="22">
        <f t="shared" si="862"/>
        <v>0</v>
      </c>
      <c r="AM238" s="22">
        <f t="shared" si="862"/>
        <v>365.91</v>
      </c>
      <c r="AN238" s="22">
        <f t="shared" si="862"/>
        <v>39.08</v>
      </c>
      <c r="AO238" s="22">
        <f t="shared" si="862"/>
        <v>0</v>
      </c>
      <c r="AP238" s="22">
        <f t="shared" si="862"/>
        <v>0</v>
      </c>
      <c r="AQ238" s="22">
        <f t="shared" si="862"/>
        <v>731.91000000000008</v>
      </c>
      <c r="AR238" s="22">
        <f t="shared" si="862"/>
        <v>79.08</v>
      </c>
      <c r="AS238" s="22">
        <f t="shared" si="862"/>
        <v>0</v>
      </c>
      <c r="AT238" s="22">
        <f t="shared" si="862"/>
        <v>0</v>
      </c>
      <c r="AU238" s="22">
        <f t="shared" si="862"/>
        <v>365.91</v>
      </c>
      <c r="AV238" s="22">
        <f t="shared" si="862"/>
        <v>40.130000000000003</v>
      </c>
      <c r="AW238" s="22">
        <f t="shared" si="862"/>
        <v>150</v>
      </c>
      <c r="AX238" s="22">
        <f t="shared" si="862"/>
        <v>0</v>
      </c>
      <c r="AY238" s="22">
        <f t="shared" si="862"/>
        <v>1369.8200000000002</v>
      </c>
      <c r="AZ238" s="22">
        <f t="shared" si="862"/>
        <v>132.21</v>
      </c>
      <c r="BA238" s="22">
        <f t="shared" si="862"/>
        <v>1502.0300000000002</v>
      </c>
      <c r="BB238" s="22">
        <f t="shared" si="862"/>
        <v>1259.0999999999999</v>
      </c>
      <c r="BC238" s="22">
        <f t="shared" si="862"/>
        <v>229.06</v>
      </c>
      <c r="BD238" s="22">
        <f t="shared" si="862"/>
        <v>110.72000000000025</v>
      </c>
      <c r="BE238" s="22">
        <f t="shared" si="862"/>
        <v>-96.85</v>
      </c>
      <c r="BF238" s="22">
        <f t="shared" si="862"/>
        <v>251.82</v>
      </c>
      <c r="BG238" s="120">
        <f t="shared" si="862"/>
        <v>45.81</v>
      </c>
      <c r="BH238" s="120">
        <f t="shared" si="862"/>
        <v>70.55</v>
      </c>
      <c r="BI238" s="120">
        <f t="shared" si="862"/>
        <v>62.5</v>
      </c>
      <c r="BJ238" s="120">
        <f t="shared" si="862"/>
        <v>0</v>
      </c>
      <c r="BK238" s="120">
        <f t="shared" si="862"/>
        <v>0</v>
      </c>
      <c r="BL238" s="120">
        <f t="shared" si="862"/>
        <v>1440.3700000000001</v>
      </c>
      <c r="BM238" s="120">
        <f t="shared" si="862"/>
        <v>194.71</v>
      </c>
      <c r="BN238" s="120">
        <f t="shared" si="862"/>
        <v>1635.0800000000002</v>
      </c>
      <c r="BO238" s="120">
        <f t="shared" si="862"/>
        <v>1383.92</v>
      </c>
      <c r="BP238" s="120">
        <f t="shared" si="862"/>
        <v>268.27</v>
      </c>
      <c r="BQ238" s="22">
        <f t="shared" si="862"/>
        <v>56.450000000000045</v>
      </c>
      <c r="BR238" s="22">
        <f t="shared" si="862"/>
        <v>-73.559999999999974</v>
      </c>
      <c r="BS238" s="22">
        <f t="shared" si="862"/>
        <v>125.81</v>
      </c>
      <c r="BT238" s="22">
        <f t="shared" si="862"/>
        <v>24.39</v>
      </c>
      <c r="BU238" s="22">
        <f t="shared" si="862"/>
        <v>69.359999999999957</v>
      </c>
      <c r="BV238" s="22">
        <f t="shared" si="862"/>
        <v>82.95</v>
      </c>
      <c r="BW238" s="22">
        <f t="shared" si="862"/>
        <v>100</v>
      </c>
      <c r="BX238" s="22">
        <f t="shared" si="862"/>
        <v>45</v>
      </c>
      <c r="BY238" s="22">
        <f t="shared" si="862"/>
        <v>0</v>
      </c>
      <c r="BZ238" s="22">
        <f t="shared" si="862"/>
        <v>0</v>
      </c>
      <c r="CA238" s="22">
        <f t="shared" si="862"/>
        <v>1609.73</v>
      </c>
      <c r="CB238" s="22">
        <f t="shared" si="862"/>
        <v>322.66000000000003</v>
      </c>
    </row>
    <row r="239" spans="1:80" ht="36" x14ac:dyDescent="0.3">
      <c r="A239" s="18">
        <v>11</v>
      </c>
      <c r="B239" s="18" t="s">
        <v>391</v>
      </c>
      <c r="C239" s="19" t="s">
        <v>293</v>
      </c>
      <c r="D239" s="20" t="s">
        <v>392</v>
      </c>
      <c r="E239" s="21" t="s">
        <v>393</v>
      </c>
      <c r="F239" s="82">
        <v>699.44</v>
      </c>
      <c r="G239" s="82">
        <v>1.8899999999999997</v>
      </c>
      <c r="H239" s="82">
        <v>699.44</v>
      </c>
      <c r="I239" s="22">
        <v>0.99999999999999967</v>
      </c>
      <c r="J239" s="89">
        <v>796</v>
      </c>
      <c r="K239" s="89">
        <v>0</v>
      </c>
      <c r="L239" s="89">
        <v>0</v>
      </c>
      <c r="M239" s="89">
        <f t="shared" ref="M239" si="863">+L239+K239+J239</f>
        <v>796</v>
      </c>
      <c r="N239" s="89">
        <v>0</v>
      </c>
      <c r="O239" s="89">
        <v>0</v>
      </c>
      <c r="P239" s="89">
        <v>0</v>
      </c>
      <c r="Q239" s="89">
        <f t="shared" ref="Q239" si="864">+P239+O239+N239</f>
        <v>0</v>
      </c>
      <c r="R239" s="89">
        <f t="shared" ref="R239" si="865">+Q239+M239</f>
        <v>796</v>
      </c>
      <c r="S239" s="89">
        <v>0</v>
      </c>
      <c r="V239" s="22">
        <f t="shared" ref="V239" si="866">ROUND(H239*1.0583,2)</f>
        <v>740.22</v>
      </c>
      <c r="W239" s="22">
        <f t="shared" ref="W239" si="867">ROUND(I239*1.0327,2)</f>
        <v>1.03</v>
      </c>
      <c r="X239" s="22">
        <f t="shared" si="709"/>
        <v>55.779999999999973</v>
      </c>
      <c r="Y239" s="22">
        <f t="shared" si="710"/>
        <v>-1.03</v>
      </c>
      <c r="Z239" s="22">
        <v>740.22</v>
      </c>
      <c r="AA239" s="22"/>
      <c r="AB239" s="22">
        <f t="shared" si="711"/>
        <v>740.22</v>
      </c>
      <c r="AC239" s="111">
        <f t="shared" si="712"/>
        <v>0</v>
      </c>
      <c r="AD239" s="22">
        <f t="shared" ref="AD239" si="868">IF(X239&gt;0,V239,R239)</f>
        <v>740.22</v>
      </c>
      <c r="AE239" s="22">
        <f>IF(Y239&gt;0,W239,S239)+28.25</f>
        <v>28.25</v>
      </c>
      <c r="AF239" s="22">
        <f t="shared" si="713"/>
        <v>0</v>
      </c>
      <c r="AG239" s="110">
        <f t="shared" si="714"/>
        <v>185</v>
      </c>
      <c r="AH239" s="110">
        <f>ROUND(AE239/4,0)-7</f>
        <v>0</v>
      </c>
      <c r="AI239" s="129">
        <f t="shared" si="716"/>
        <v>62</v>
      </c>
      <c r="AJ239" s="110">
        <f>ROUND(AE239/12,0)-2</f>
        <v>0</v>
      </c>
      <c r="AM239" s="110">
        <f t="shared" si="718"/>
        <v>185.06</v>
      </c>
      <c r="AN239" s="110">
        <f>ROUND(AE239*24.35%,2)-6.88</f>
        <v>0</v>
      </c>
      <c r="AO239" s="118"/>
      <c r="AP239" s="146">
        <v>28.25</v>
      </c>
      <c r="AQ239" s="118">
        <f t="shared" si="720"/>
        <v>370.06</v>
      </c>
      <c r="AR239" s="118">
        <f t="shared" si="721"/>
        <v>28.25</v>
      </c>
      <c r="AS239" s="118"/>
      <c r="AT239" s="118"/>
      <c r="AU239" s="118">
        <f t="shared" si="807"/>
        <v>185.06</v>
      </c>
      <c r="AV239" s="118">
        <f>ROUND(AE239*25%,2)-7.06</f>
        <v>0</v>
      </c>
      <c r="AW239" s="146">
        <v>30</v>
      </c>
      <c r="AY239" s="110">
        <f t="shared" si="699"/>
        <v>647.12</v>
      </c>
      <c r="AZ239" s="110">
        <f t="shared" si="700"/>
        <v>28.25</v>
      </c>
      <c r="BA239" s="110">
        <f t="shared" si="701"/>
        <v>675.37</v>
      </c>
      <c r="BB239" s="155">
        <v>619.52</v>
      </c>
      <c r="BC239" s="142">
        <v>27.89</v>
      </c>
      <c r="BD239" s="142">
        <f t="shared" si="702"/>
        <v>27.600000000000023</v>
      </c>
      <c r="BE239" s="142">
        <f t="shared" si="703"/>
        <v>0.35999999999999943</v>
      </c>
      <c r="BF239" s="142">
        <f t="shared" si="704"/>
        <v>123.9</v>
      </c>
      <c r="BG239" s="142">
        <f t="shared" si="705"/>
        <v>5.58</v>
      </c>
      <c r="BH239" s="110">
        <v>48.15</v>
      </c>
      <c r="BI239" s="110">
        <v>0</v>
      </c>
      <c r="BJ239" s="110">
        <v>10.130000000000001</v>
      </c>
      <c r="BL239" s="110">
        <f t="shared" si="736"/>
        <v>705.4</v>
      </c>
      <c r="BM239" s="110">
        <f t="shared" si="737"/>
        <v>28.25</v>
      </c>
      <c r="BN239" s="110">
        <f t="shared" si="738"/>
        <v>733.65</v>
      </c>
      <c r="BO239" s="110">
        <v>697.63</v>
      </c>
      <c r="BP239" s="129">
        <v>27.89</v>
      </c>
      <c r="BQ239" s="110">
        <f t="shared" si="739"/>
        <v>7.7699999999999818</v>
      </c>
      <c r="BR239" s="110">
        <f t="shared" si="740"/>
        <v>0.35999999999999943</v>
      </c>
      <c r="BS239" s="110">
        <f t="shared" si="741"/>
        <v>63.42</v>
      </c>
      <c r="BT239" s="110">
        <f t="shared" si="742"/>
        <v>2.54</v>
      </c>
      <c r="BU239" s="146">
        <v>78.599999999999994</v>
      </c>
      <c r="BV239" s="110">
        <v>0</v>
      </c>
      <c r="CA239" s="110">
        <f t="shared" si="743"/>
        <v>784</v>
      </c>
      <c r="CB239" s="110">
        <f t="shared" si="744"/>
        <v>28.25</v>
      </c>
    </row>
    <row r="240" spans="1:80" ht="36" x14ac:dyDescent="0.3">
      <c r="A240" s="46"/>
      <c r="B240" s="46"/>
      <c r="C240" s="47"/>
      <c r="D240" s="48" t="s">
        <v>394</v>
      </c>
      <c r="E240" s="49" t="s">
        <v>395</v>
      </c>
      <c r="F240" s="50">
        <v>22527.949999999997</v>
      </c>
      <c r="G240" s="50">
        <v>19191.589999999997</v>
      </c>
      <c r="H240" s="50">
        <v>22527.949999999997</v>
      </c>
      <c r="I240" s="50">
        <v>19368.47</v>
      </c>
      <c r="J240" s="94">
        <f t="shared" ref="J240:AA240" si="869">+J239+J238+J235+J232+J231+J230+J229+J228</f>
        <v>26859.590000000004</v>
      </c>
      <c r="K240" s="94">
        <f t="shared" si="869"/>
        <v>0</v>
      </c>
      <c r="L240" s="94">
        <f t="shared" si="869"/>
        <v>1.69</v>
      </c>
      <c r="M240" s="94">
        <f t="shared" si="869"/>
        <v>26861.279999999999</v>
      </c>
      <c r="N240" s="94">
        <f t="shared" si="869"/>
        <v>0</v>
      </c>
      <c r="O240" s="94">
        <f t="shared" si="869"/>
        <v>0</v>
      </c>
      <c r="P240" s="94">
        <f t="shared" si="869"/>
        <v>0</v>
      </c>
      <c r="Q240" s="94">
        <f t="shared" si="869"/>
        <v>0</v>
      </c>
      <c r="R240" s="94">
        <f t="shared" si="869"/>
        <v>26861.279999999999</v>
      </c>
      <c r="S240" s="94">
        <f t="shared" si="869"/>
        <v>22565</v>
      </c>
      <c r="T240" s="94">
        <f t="shared" si="869"/>
        <v>0</v>
      </c>
      <c r="U240" s="94">
        <f t="shared" si="869"/>
        <v>0</v>
      </c>
      <c r="V240" s="94">
        <f t="shared" si="869"/>
        <v>23841.339999999997</v>
      </c>
      <c r="W240" s="94">
        <f t="shared" si="869"/>
        <v>20001.810000000001</v>
      </c>
      <c r="X240" s="94">
        <f t="shared" si="869"/>
        <v>3019.94</v>
      </c>
      <c r="Y240" s="94">
        <f t="shared" si="869"/>
        <v>2563.1899999999996</v>
      </c>
      <c r="Z240" s="94">
        <f t="shared" si="869"/>
        <v>23828.42</v>
      </c>
      <c r="AA240" s="94">
        <f t="shared" si="869"/>
        <v>0</v>
      </c>
      <c r="AB240" s="50">
        <f t="shared" si="711"/>
        <v>23828.42</v>
      </c>
      <c r="AC240" s="111">
        <f t="shared" si="712"/>
        <v>0</v>
      </c>
      <c r="AD240" s="50">
        <f t="shared" ref="AD240:CB240" si="870">+AD239+AD238+AD235+AD232+AD231+AD230+AD229+AD228</f>
        <v>23828.42</v>
      </c>
      <c r="AE240" s="50">
        <f t="shared" si="870"/>
        <v>19926.13</v>
      </c>
      <c r="AF240" s="50">
        <f t="shared" si="870"/>
        <v>20358.14</v>
      </c>
      <c r="AG240" s="133">
        <f t="shared" si="870"/>
        <v>5957</v>
      </c>
      <c r="AH240" s="133">
        <f t="shared" si="870"/>
        <v>4974</v>
      </c>
      <c r="AI240" s="133">
        <f t="shared" si="870"/>
        <v>1987</v>
      </c>
      <c r="AJ240" s="133">
        <f t="shared" si="870"/>
        <v>1658</v>
      </c>
      <c r="AK240" s="133">
        <f t="shared" si="870"/>
        <v>0</v>
      </c>
      <c r="AL240" s="133">
        <f t="shared" si="870"/>
        <v>175</v>
      </c>
      <c r="AM240" s="133">
        <f t="shared" si="870"/>
        <v>5857.13</v>
      </c>
      <c r="AN240" s="133">
        <f t="shared" si="870"/>
        <v>4845.1399999999994</v>
      </c>
      <c r="AO240" s="133">
        <f t="shared" si="870"/>
        <v>0</v>
      </c>
      <c r="AP240" s="133">
        <f t="shared" si="870"/>
        <v>28.25</v>
      </c>
      <c r="AQ240" s="133">
        <f t="shared" si="870"/>
        <v>11814.130000000001</v>
      </c>
      <c r="AR240" s="133">
        <f t="shared" si="870"/>
        <v>10022.39</v>
      </c>
      <c r="AS240" s="133">
        <f t="shared" si="870"/>
        <v>0</v>
      </c>
      <c r="AT240" s="133">
        <f t="shared" si="870"/>
        <v>0</v>
      </c>
      <c r="AU240" s="133">
        <f t="shared" si="870"/>
        <v>5957.13</v>
      </c>
      <c r="AV240" s="133">
        <f t="shared" si="870"/>
        <v>5556.01</v>
      </c>
      <c r="AW240" s="133">
        <f t="shared" si="870"/>
        <v>270</v>
      </c>
      <c r="AX240" s="133">
        <f t="shared" si="870"/>
        <v>607.24</v>
      </c>
      <c r="AY240" s="133">
        <f t="shared" si="870"/>
        <v>20028.260000000002</v>
      </c>
      <c r="AZ240" s="133">
        <f t="shared" si="870"/>
        <v>17843.64</v>
      </c>
      <c r="BA240" s="133">
        <f t="shared" si="870"/>
        <v>37871.9</v>
      </c>
      <c r="BB240" s="133">
        <f t="shared" si="870"/>
        <v>19678.810000000001</v>
      </c>
      <c r="BC240" s="133">
        <f t="shared" si="870"/>
        <v>17968.41</v>
      </c>
      <c r="BD240" s="133">
        <f t="shared" si="870"/>
        <v>349.45000000000039</v>
      </c>
      <c r="BE240" s="133">
        <f t="shared" si="870"/>
        <v>-124.77000000000027</v>
      </c>
      <c r="BF240" s="133">
        <f t="shared" si="870"/>
        <v>3935.76</v>
      </c>
      <c r="BG240" s="133">
        <f t="shared" si="870"/>
        <v>3593.67</v>
      </c>
      <c r="BH240" s="133">
        <f t="shared" si="870"/>
        <v>1842.19</v>
      </c>
      <c r="BI240" s="133">
        <f t="shared" si="870"/>
        <v>1733.67</v>
      </c>
      <c r="BJ240" s="133">
        <f t="shared" si="870"/>
        <v>26.310000000000002</v>
      </c>
      <c r="BK240" s="133">
        <f t="shared" si="870"/>
        <v>200</v>
      </c>
      <c r="BL240" s="133">
        <f t="shared" si="870"/>
        <v>21896.76</v>
      </c>
      <c r="BM240" s="133">
        <f t="shared" si="870"/>
        <v>19777.309999999998</v>
      </c>
      <c r="BN240" s="133">
        <f t="shared" si="870"/>
        <v>41674.07</v>
      </c>
      <c r="BO240" s="133">
        <f t="shared" si="870"/>
        <v>21759</v>
      </c>
      <c r="BP240" s="133">
        <f t="shared" si="870"/>
        <v>19808.79</v>
      </c>
      <c r="BQ240" s="50">
        <f t="shared" si="870"/>
        <v>137.7600000000009</v>
      </c>
      <c r="BR240" s="50">
        <f t="shared" si="870"/>
        <v>-31.480000000000317</v>
      </c>
      <c r="BS240" s="50">
        <f t="shared" si="870"/>
        <v>1978.09</v>
      </c>
      <c r="BT240" s="50">
        <f t="shared" si="870"/>
        <v>1800.81</v>
      </c>
      <c r="BU240" s="50">
        <f t="shared" si="870"/>
        <v>1982.8399999999992</v>
      </c>
      <c r="BV240" s="50">
        <f t="shared" si="870"/>
        <v>1934.1399999999999</v>
      </c>
      <c r="BW240" s="50">
        <f t="shared" si="870"/>
        <v>212.65</v>
      </c>
      <c r="BX240" s="50">
        <f t="shared" si="870"/>
        <v>357.75</v>
      </c>
      <c r="BY240" s="50">
        <f t="shared" si="870"/>
        <v>0</v>
      </c>
      <c r="BZ240" s="50">
        <f t="shared" si="870"/>
        <v>0</v>
      </c>
      <c r="CA240" s="50">
        <f t="shared" si="870"/>
        <v>24092.25</v>
      </c>
      <c r="CB240" s="50">
        <f t="shared" si="870"/>
        <v>22069.199999999997</v>
      </c>
    </row>
    <row r="241" spans="1:80" ht="18" x14ac:dyDescent="0.3">
      <c r="A241" s="13">
        <v>1</v>
      </c>
      <c r="B241" s="13"/>
      <c r="C241" s="14"/>
      <c r="D241" s="15" t="s">
        <v>396</v>
      </c>
      <c r="E241" s="16"/>
      <c r="F241" s="82">
        <v>2915</v>
      </c>
      <c r="G241" s="82">
        <v>2183.8200000000002</v>
      </c>
      <c r="H241" s="82">
        <v>2915</v>
      </c>
      <c r="I241" s="17">
        <v>2183.8200000000002</v>
      </c>
      <c r="J241" s="87">
        <v>3300</v>
      </c>
      <c r="K241" s="88">
        <v>0</v>
      </c>
      <c r="L241" s="88">
        <v>0</v>
      </c>
      <c r="M241" s="88">
        <f t="shared" ref="M241:M259" si="871">J241+K241+L241</f>
        <v>3300</v>
      </c>
      <c r="N241" s="88">
        <v>0</v>
      </c>
      <c r="O241" s="88"/>
      <c r="P241" s="88"/>
      <c r="Q241" s="88">
        <f t="shared" ref="Q241:Q247" si="872">N241+O241+P241</f>
        <v>0</v>
      </c>
      <c r="R241" s="88">
        <f t="shared" ref="R241:R259" si="873">+Q241+M241</f>
        <v>3300</v>
      </c>
      <c r="S241" s="88">
        <v>2500</v>
      </c>
      <c r="V241" s="17">
        <f t="shared" ref="V241" si="874">ROUND(H241*1.0583,2)</f>
        <v>3084.94</v>
      </c>
      <c r="W241" s="17">
        <f t="shared" ref="W241" si="875">ROUND(I241*1.0327,2)</f>
        <v>2255.23</v>
      </c>
      <c r="X241" s="110">
        <f t="shared" si="709"/>
        <v>215.05999999999995</v>
      </c>
      <c r="Y241" s="110">
        <f t="shared" si="710"/>
        <v>244.76999999999998</v>
      </c>
      <c r="Z241" s="110">
        <v>3084.94</v>
      </c>
      <c r="AA241" s="110"/>
      <c r="AB241" s="110">
        <f t="shared" si="711"/>
        <v>3084.94</v>
      </c>
      <c r="AC241" s="111">
        <f t="shared" si="712"/>
        <v>0</v>
      </c>
      <c r="AD241" s="110">
        <f t="shared" ref="AD241" si="876">IF(X241&gt;0,V241,R241)</f>
        <v>3084.94</v>
      </c>
      <c r="AE241" s="110">
        <f t="shared" ref="AE241" si="877">IF(Y241&gt;0,W241,S241)</f>
        <v>2255.23</v>
      </c>
      <c r="AF241" s="110">
        <f t="shared" si="713"/>
        <v>2255.5</v>
      </c>
      <c r="AG241" s="110">
        <f t="shared" si="714"/>
        <v>771</v>
      </c>
      <c r="AH241" s="110">
        <f t="shared" si="715"/>
        <v>564</v>
      </c>
      <c r="AI241" s="129">
        <f t="shared" si="716"/>
        <v>257</v>
      </c>
      <c r="AJ241" s="110">
        <f t="shared" si="717"/>
        <v>188</v>
      </c>
      <c r="AM241" s="110">
        <f t="shared" si="718"/>
        <v>771.24</v>
      </c>
      <c r="AN241" s="110">
        <f t="shared" si="719"/>
        <v>549.15</v>
      </c>
      <c r="AQ241" s="110">
        <f t="shared" si="720"/>
        <v>1542.24</v>
      </c>
      <c r="AR241" s="110">
        <f t="shared" si="721"/>
        <v>1113.1500000000001</v>
      </c>
      <c r="AU241" s="110">
        <f t="shared" si="807"/>
        <v>771.24</v>
      </c>
      <c r="AV241" s="110">
        <f>ROUND(AE241*25%,2)</f>
        <v>563.80999999999995</v>
      </c>
      <c r="AW241" s="118"/>
      <c r="AX241" s="146">
        <v>506.5</v>
      </c>
      <c r="AY241" s="110">
        <f t="shared" si="699"/>
        <v>2570.48</v>
      </c>
      <c r="AZ241" s="110">
        <f t="shared" si="700"/>
        <v>2371.46</v>
      </c>
      <c r="BA241" s="110">
        <f t="shared" si="701"/>
        <v>4941.9400000000005</v>
      </c>
      <c r="BB241" s="142">
        <v>2600.98</v>
      </c>
      <c r="BC241" s="142">
        <v>2296.44</v>
      </c>
      <c r="BD241" s="142">
        <f t="shared" si="702"/>
        <v>-30.5</v>
      </c>
      <c r="BE241" s="142">
        <f t="shared" si="703"/>
        <v>75.019999999999982</v>
      </c>
      <c r="BF241" s="142">
        <f t="shared" si="704"/>
        <v>520.20000000000005</v>
      </c>
      <c r="BG241" s="142">
        <f t="shared" si="705"/>
        <v>459.29</v>
      </c>
      <c r="BH241" s="110">
        <v>264.35000000000002</v>
      </c>
      <c r="BI241" s="110">
        <v>150</v>
      </c>
      <c r="BK241" s="110">
        <v>150</v>
      </c>
      <c r="BL241" s="110">
        <f t="shared" si="736"/>
        <v>2834.83</v>
      </c>
      <c r="BM241" s="110">
        <f t="shared" si="737"/>
        <v>2671.46</v>
      </c>
      <c r="BN241" s="110">
        <f t="shared" si="738"/>
        <v>5506.29</v>
      </c>
      <c r="BO241" s="110">
        <v>2833.87</v>
      </c>
      <c r="BP241" s="129">
        <v>2596.39</v>
      </c>
      <c r="BQ241" s="110">
        <f t="shared" si="739"/>
        <v>0.96000000000003638</v>
      </c>
      <c r="BR241" s="110">
        <f t="shared" si="740"/>
        <v>75.070000000000164</v>
      </c>
      <c r="BS241" s="110">
        <f t="shared" si="741"/>
        <v>257.62</v>
      </c>
      <c r="BT241" s="110">
        <f t="shared" si="742"/>
        <v>236.04</v>
      </c>
      <c r="BU241" s="110">
        <f t="shared" si="760"/>
        <v>256.65999999999997</v>
      </c>
      <c r="BV241" s="110">
        <v>200</v>
      </c>
      <c r="BW241" s="111">
        <v>119.51</v>
      </c>
      <c r="BX241" s="110">
        <f>60+9.66</f>
        <v>69.66</v>
      </c>
      <c r="CA241" s="110">
        <f t="shared" si="743"/>
        <v>3211</v>
      </c>
      <c r="CB241" s="110">
        <f t="shared" si="744"/>
        <v>2941.12</v>
      </c>
    </row>
    <row r="242" spans="1:80" ht="18" x14ac:dyDescent="0.3">
      <c r="A242" s="13">
        <v>2</v>
      </c>
      <c r="B242" s="13"/>
      <c r="C242" s="14"/>
      <c r="D242" s="15" t="s">
        <v>397</v>
      </c>
      <c r="E242" s="16"/>
      <c r="F242" s="82">
        <v>1078</v>
      </c>
      <c r="G242" s="82">
        <v>0</v>
      </c>
      <c r="H242" s="82">
        <v>1078</v>
      </c>
      <c r="I242" s="17">
        <v>0</v>
      </c>
      <c r="J242" s="87">
        <v>1250</v>
      </c>
      <c r="K242" s="88">
        <v>0</v>
      </c>
      <c r="L242" s="88">
        <v>0</v>
      </c>
      <c r="M242" s="88">
        <f t="shared" si="871"/>
        <v>1250</v>
      </c>
      <c r="N242" s="88">
        <v>75</v>
      </c>
      <c r="O242" s="88"/>
      <c r="P242" s="88"/>
      <c r="Q242" s="88">
        <f t="shared" si="872"/>
        <v>75</v>
      </c>
      <c r="R242" s="88">
        <f t="shared" si="873"/>
        <v>1325</v>
      </c>
      <c r="S242" s="88">
        <v>0</v>
      </c>
      <c r="V242" s="17">
        <f t="shared" ref="V242:V247" si="878">ROUND(H242*1.0583,2)</f>
        <v>1140.8499999999999</v>
      </c>
      <c r="W242" s="17">
        <f t="shared" ref="W242:W247" si="879">ROUND(I242*1.0327,2)</f>
        <v>0</v>
      </c>
      <c r="X242" s="110">
        <f t="shared" si="709"/>
        <v>184.15000000000009</v>
      </c>
      <c r="Y242" s="110">
        <f t="shared" si="710"/>
        <v>0</v>
      </c>
      <c r="Z242" s="110">
        <v>1085.8499999999999</v>
      </c>
      <c r="AA242" s="110">
        <v>55</v>
      </c>
      <c r="AB242" s="110">
        <f t="shared" si="711"/>
        <v>1140.8499999999999</v>
      </c>
      <c r="AC242" s="111">
        <f t="shared" si="712"/>
        <v>0</v>
      </c>
      <c r="AD242" s="110">
        <f t="shared" ref="AD242:AD247" si="880">IF(X242&gt;0,V242,R242)</f>
        <v>1140.8499999999999</v>
      </c>
      <c r="AE242" s="110">
        <f t="shared" ref="AE242:AE247" si="881">IF(Y242&gt;0,W242,S242)</f>
        <v>0</v>
      </c>
      <c r="AF242" s="110">
        <f t="shared" si="713"/>
        <v>0</v>
      </c>
      <c r="AG242" s="110">
        <f t="shared" si="714"/>
        <v>285</v>
      </c>
      <c r="AH242" s="110">
        <f t="shared" si="715"/>
        <v>0</v>
      </c>
      <c r="AI242" s="129">
        <f t="shared" si="716"/>
        <v>95</v>
      </c>
      <c r="AJ242" s="110">
        <f t="shared" si="717"/>
        <v>0</v>
      </c>
      <c r="AM242" s="110">
        <f t="shared" si="718"/>
        <v>285.20999999999998</v>
      </c>
      <c r="AN242" s="110">
        <f t="shared" si="719"/>
        <v>0</v>
      </c>
      <c r="AQ242" s="110">
        <f t="shared" si="720"/>
        <v>570.21</v>
      </c>
      <c r="AR242" s="110">
        <f t="shared" si="721"/>
        <v>0</v>
      </c>
      <c r="AU242" s="110">
        <f t="shared" si="807"/>
        <v>285.20999999999998</v>
      </c>
      <c r="AV242" s="110">
        <f t="shared" ref="AV242:AV261" si="882">ROUND(AE242*25%,2)</f>
        <v>0</v>
      </c>
      <c r="AY242" s="110">
        <f t="shared" si="699"/>
        <v>950.42000000000007</v>
      </c>
      <c r="AZ242" s="110">
        <f t="shared" si="700"/>
        <v>0</v>
      </c>
      <c r="BA242" s="110">
        <f t="shared" si="701"/>
        <v>950.42000000000007</v>
      </c>
      <c r="BB242" s="142">
        <v>950.42</v>
      </c>
      <c r="BD242" s="142">
        <f t="shared" si="702"/>
        <v>0</v>
      </c>
      <c r="BE242" s="142">
        <f t="shared" si="703"/>
        <v>0</v>
      </c>
      <c r="BF242" s="142">
        <f t="shared" si="704"/>
        <v>190.08</v>
      </c>
      <c r="BG242" s="142">
        <f t="shared" si="705"/>
        <v>0</v>
      </c>
      <c r="BH242" s="110">
        <v>95.04</v>
      </c>
      <c r="BI242" s="110">
        <v>0</v>
      </c>
      <c r="BL242" s="110">
        <f t="shared" si="736"/>
        <v>1045.46</v>
      </c>
      <c r="BM242" s="110">
        <f t="shared" si="737"/>
        <v>0</v>
      </c>
      <c r="BN242" s="110">
        <f t="shared" si="738"/>
        <v>1045.46</v>
      </c>
      <c r="BO242" s="110">
        <v>950.42</v>
      </c>
      <c r="BP242" s="129"/>
      <c r="BQ242" s="110">
        <f t="shared" si="739"/>
        <v>95.040000000000077</v>
      </c>
      <c r="BR242" s="110">
        <f t="shared" si="740"/>
        <v>0</v>
      </c>
      <c r="BS242" s="110">
        <f t="shared" si="741"/>
        <v>86.4</v>
      </c>
      <c r="BT242" s="110">
        <f t="shared" si="742"/>
        <v>0</v>
      </c>
      <c r="BU242" s="110">
        <f t="shared" ref="BU242:BU243" si="883">ROUND(BS242-BQ242,2)</f>
        <v>-8.64</v>
      </c>
      <c r="BV242" s="110">
        <v>0</v>
      </c>
      <c r="BW242" s="111">
        <v>104.03</v>
      </c>
      <c r="CA242" s="110">
        <f t="shared" si="743"/>
        <v>1140.8499999999999</v>
      </c>
      <c r="CB242" s="110">
        <f t="shared" si="744"/>
        <v>0</v>
      </c>
    </row>
    <row r="243" spans="1:80" ht="18" x14ac:dyDescent="0.3">
      <c r="A243" s="13">
        <v>3</v>
      </c>
      <c r="B243" s="13"/>
      <c r="C243" s="14"/>
      <c r="D243" s="15" t="s">
        <v>398</v>
      </c>
      <c r="E243" s="16"/>
      <c r="F243" s="82">
        <v>299.25</v>
      </c>
      <c r="G243" s="82">
        <v>0</v>
      </c>
      <c r="H243" s="82">
        <v>299.25</v>
      </c>
      <c r="I243" s="17">
        <v>0</v>
      </c>
      <c r="J243" s="87">
        <v>380.96</v>
      </c>
      <c r="K243" s="88">
        <v>0</v>
      </c>
      <c r="L243" s="88">
        <v>0</v>
      </c>
      <c r="M243" s="88">
        <f t="shared" si="871"/>
        <v>380.96</v>
      </c>
      <c r="N243" s="88">
        <v>81.739999999999995</v>
      </c>
      <c r="O243" s="88"/>
      <c r="P243" s="88"/>
      <c r="Q243" s="88">
        <f t="shared" si="872"/>
        <v>81.739999999999995</v>
      </c>
      <c r="R243" s="88">
        <f t="shared" si="873"/>
        <v>462.7</v>
      </c>
      <c r="S243" s="88">
        <v>0</v>
      </c>
      <c r="V243" s="17">
        <f t="shared" si="878"/>
        <v>316.7</v>
      </c>
      <c r="W243" s="17">
        <f t="shared" si="879"/>
        <v>0</v>
      </c>
      <c r="X243" s="110">
        <f t="shared" si="709"/>
        <v>146</v>
      </c>
      <c r="Y243" s="110">
        <f t="shared" si="710"/>
        <v>0</v>
      </c>
      <c r="Z243" s="110">
        <v>246.7</v>
      </c>
      <c r="AA243" s="110">
        <v>70</v>
      </c>
      <c r="AB243" s="110">
        <f t="shared" si="711"/>
        <v>316.7</v>
      </c>
      <c r="AC243" s="111">
        <f t="shared" si="712"/>
        <v>0</v>
      </c>
      <c r="AD243" s="110">
        <f t="shared" si="880"/>
        <v>316.7</v>
      </c>
      <c r="AE243" s="110">
        <f t="shared" si="881"/>
        <v>0</v>
      </c>
      <c r="AF243" s="110">
        <f t="shared" si="713"/>
        <v>0</v>
      </c>
      <c r="AG243" s="110">
        <f t="shared" si="714"/>
        <v>79</v>
      </c>
      <c r="AH243" s="110">
        <f t="shared" si="715"/>
        <v>0</v>
      </c>
      <c r="AI243" s="129">
        <f t="shared" si="716"/>
        <v>26</v>
      </c>
      <c r="AJ243" s="110">
        <f t="shared" si="717"/>
        <v>0</v>
      </c>
      <c r="AM243" s="110">
        <f t="shared" si="718"/>
        <v>79.180000000000007</v>
      </c>
      <c r="AN243" s="110">
        <f t="shared" si="719"/>
        <v>0</v>
      </c>
      <c r="AQ243" s="110">
        <f t="shared" si="720"/>
        <v>158.18</v>
      </c>
      <c r="AR243" s="110">
        <f t="shared" si="721"/>
        <v>0</v>
      </c>
      <c r="AU243" s="110">
        <f t="shared" si="807"/>
        <v>79.180000000000007</v>
      </c>
      <c r="AV243" s="110">
        <f t="shared" si="882"/>
        <v>0</v>
      </c>
      <c r="AY243" s="110">
        <f t="shared" si="699"/>
        <v>263.36</v>
      </c>
      <c r="AZ243" s="110">
        <f t="shared" si="700"/>
        <v>0</v>
      </c>
      <c r="BA243" s="110">
        <f t="shared" si="701"/>
        <v>263.36</v>
      </c>
      <c r="BB243" s="142">
        <v>261.77999999999997</v>
      </c>
      <c r="BD243" s="142">
        <f t="shared" si="702"/>
        <v>1.5800000000000409</v>
      </c>
      <c r="BE243" s="142">
        <f t="shared" si="703"/>
        <v>0</v>
      </c>
      <c r="BF243" s="142">
        <f t="shared" si="704"/>
        <v>52.36</v>
      </c>
      <c r="BG243" s="142">
        <f t="shared" si="705"/>
        <v>0</v>
      </c>
      <c r="BH243" s="146">
        <v>25.39</v>
      </c>
      <c r="BI243" s="110">
        <v>0</v>
      </c>
      <c r="BL243" s="110">
        <f t="shared" si="736"/>
        <v>288.75</v>
      </c>
      <c r="BM243" s="110">
        <f t="shared" si="737"/>
        <v>0</v>
      </c>
      <c r="BN243" s="110">
        <f t="shared" si="738"/>
        <v>288.75</v>
      </c>
      <c r="BO243" s="110">
        <v>261.77999999999997</v>
      </c>
      <c r="BP243" s="129"/>
      <c r="BQ243" s="110">
        <f t="shared" si="739"/>
        <v>26.970000000000027</v>
      </c>
      <c r="BR243" s="110">
        <f t="shared" si="740"/>
        <v>0</v>
      </c>
      <c r="BS243" s="110">
        <f t="shared" si="741"/>
        <v>23.8</v>
      </c>
      <c r="BT243" s="110">
        <f t="shared" si="742"/>
        <v>0</v>
      </c>
      <c r="BU243" s="110">
        <f t="shared" si="883"/>
        <v>-3.17</v>
      </c>
      <c r="BV243" s="110">
        <v>0</v>
      </c>
      <c r="BW243" s="111">
        <v>53.99</v>
      </c>
      <c r="CA243" s="110">
        <f t="shared" si="743"/>
        <v>339.57</v>
      </c>
      <c r="CB243" s="110">
        <f t="shared" si="744"/>
        <v>0</v>
      </c>
    </row>
    <row r="244" spans="1:80" ht="18" x14ac:dyDescent="0.3">
      <c r="A244" s="13">
        <v>4</v>
      </c>
      <c r="B244" s="13"/>
      <c r="C244" s="14"/>
      <c r="D244" s="15" t="s">
        <v>399</v>
      </c>
      <c r="E244" s="16"/>
      <c r="F244" s="82">
        <v>852.09</v>
      </c>
      <c r="G244" s="82">
        <v>0</v>
      </c>
      <c r="H244" s="82">
        <v>852.09</v>
      </c>
      <c r="I244" s="17">
        <v>0</v>
      </c>
      <c r="J244" s="87">
        <v>940.96</v>
      </c>
      <c r="K244" s="88">
        <v>0</v>
      </c>
      <c r="L244" s="88">
        <v>0</v>
      </c>
      <c r="M244" s="88">
        <f t="shared" si="871"/>
        <v>940.96</v>
      </c>
      <c r="N244" s="88">
        <v>0</v>
      </c>
      <c r="O244" s="88"/>
      <c r="P244" s="88"/>
      <c r="Q244" s="88">
        <f t="shared" si="872"/>
        <v>0</v>
      </c>
      <c r="R244" s="88">
        <f t="shared" si="873"/>
        <v>940.96</v>
      </c>
      <c r="S244" s="88">
        <v>0</v>
      </c>
      <c r="V244" s="17">
        <f t="shared" si="878"/>
        <v>901.77</v>
      </c>
      <c r="W244" s="17">
        <f t="shared" si="879"/>
        <v>0</v>
      </c>
      <c r="X244" s="110">
        <f t="shared" si="709"/>
        <v>39.190000000000055</v>
      </c>
      <c r="Y244" s="110">
        <f t="shared" si="710"/>
        <v>0</v>
      </c>
      <c r="Z244" s="110">
        <v>901.77</v>
      </c>
      <c r="AA244" s="110"/>
      <c r="AB244" s="110">
        <f t="shared" si="711"/>
        <v>901.77</v>
      </c>
      <c r="AC244" s="111">
        <f t="shared" si="712"/>
        <v>0</v>
      </c>
      <c r="AD244" s="110">
        <f t="shared" si="880"/>
        <v>901.77</v>
      </c>
      <c r="AE244" s="110">
        <f t="shared" si="881"/>
        <v>0</v>
      </c>
      <c r="AF244" s="110">
        <f t="shared" si="713"/>
        <v>0</v>
      </c>
      <c r="AG244" s="110">
        <f t="shared" si="714"/>
        <v>225</v>
      </c>
      <c r="AH244" s="110">
        <f t="shared" si="715"/>
        <v>0</v>
      </c>
      <c r="AI244" s="129">
        <f t="shared" si="716"/>
        <v>75</v>
      </c>
      <c r="AJ244" s="110">
        <f t="shared" si="717"/>
        <v>0</v>
      </c>
      <c r="AM244" s="110">
        <f t="shared" si="718"/>
        <v>225.44</v>
      </c>
      <c r="AN244" s="110">
        <f t="shared" si="719"/>
        <v>0</v>
      </c>
      <c r="AQ244" s="110">
        <f t="shared" si="720"/>
        <v>450.44</v>
      </c>
      <c r="AR244" s="110">
        <f t="shared" si="721"/>
        <v>0</v>
      </c>
      <c r="AU244" s="110">
        <f t="shared" si="807"/>
        <v>225.44</v>
      </c>
      <c r="AV244" s="110">
        <f t="shared" si="882"/>
        <v>0</v>
      </c>
      <c r="AY244" s="110">
        <f t="shared" si="699"/>
        <v>750.88</v>
      </c>
      <c r="AZ244" s="110">
        <f t="shared" si="700"/>
        <v>0</v>
      </c>
      <c r="BA244" s="110">
        <f t="shared" si="701"/>
        <v>750.88</v>
      </c>
      <c r="BB244" s="142">
        <v>750.88</v>
      </c>
      <c r="BD244" s="142">
        <f t="shared" si="702"/>
        <v>0</v>
      </c>
      <c r="BE244" s="142">
        <f t="shared" si="703"/>
        <v>0</v>
      </c>
      <c r="BF244" s="142">
        <f t="shared" si="704"/>
        <v>150.18</v>
      </c>
      <c r="BG244" s="142">
        <f t="shared" si="705"/>
        <v>0</v>
      </c>
      <c r="BH244" s="110">
        <v>75.09</v>
      </c>
      <c r="BI244" s="110">
        <v>0</v>
      </c>
      <c r="BL244" s="110">
        <f t="shared" si="736"/>
        <v>825.97</v>
      </c>
      <c r="BM244" s="110">
        <f t="shared" si="737"/>
        <v>0</v>
      </c>
      <c r="BN244" s="110">
        <f t="shared" si="738"/>
        <v>825.97</v>
      </c>
      <c r="BO244" s="110">
        <v>750.88</v>
      </c>
      <c r="BP244" s="129"/>
      <c r="BQ244" s="110">
        <f t="shared" si="739"/>
        <v>75.090000000000032</v>
      </c>
      <c r="BR244" s="110">
        <f t="shared" si="740"/>
        <v>0</v>
      </c>
      <c r="BS244" s="110">
        <f t="shared" si="741"/>
        <v>68.260000000000005</v>
      </c>
      <c r="BT244" s="110">
        <f t="shared" si="742"/>
        <v>0</v>
      </c>
      <c r="BU244" s="110">
        <f>ROUND(BS244-BQ244,2)</f>
        <v>-6.83</v>
      </c>
      <c r="BV244" s="110">
        <v>0</v>
      </c>
      <c r="BW244" s="111">
        <v>82.63</v>
      </c>
      <c r="CA244" s="110">
        <f t="shared" si="743"/>
        <v>901.77</v>
      </c>
      <c r="CB244" s="110">
        <f t="shared" si="744"/>
        <v>0</v>
      </c>
    </row>
    <row r="245" spans="1:80" ht="18" x14ac:dyDescent="0.3">
      <c r="A245" s="13">
        <v>5</v>
      </c>
      <c r="B245" s="13"/>
      <c r="C245" s="14"/>
      <c r="D245" s="15" t="s">
        <v>400</v>
      </c>
      <c r="E245" s="16"/>
      <c r="F245" s="82">
        <v>370</v>
      </c>
      <c r="G245" s="82">
        <v>0</v>
      </c>
      <c r="H245" s="82">
        <v>370</v>
      </c>
      <c r="I245" s="17">
        <v>0</v>
      </c>
      <c r="J245" s="87">
        <v>471.71</v>
      </c>
      <c r="K245" s="88">
        <v>0</v>
      </c>
      <c r="L245" s="88">
        <v>0</v>
      </c>
      <c r="M245" s="88">
        <f t="shared" si="871"/>
        <v>471.71</v>
      </c>
      <c r="N245" s="88">
        <v>33</v>
      </c>
      <c r="O245" s="88"/>
      <c r="P245" s="88"/>
      <c r="Q245" s="88">
        <f t="shared" si="872"/>
        <v>33</v>
      </c>
      <c r="R245" s="88">
        <f t="shared" si="873"/>
        <v>504.71</v>
      </c>
      <c r="S245" s="88">
        <v>0</v>
      </c>
      <c r="V245" s="17">
        <f t="shared" si="878"/>
        <v>391.57</v>
      </c>
      <c r="W245" s="17">
        <f t="shared" si="879"/>
        <v>0</v>
      </c>
      <c r="X245" s="110">
        <f t="shared" si="709"/>
        <v>113.13999999999999</v>
      </c>
      <c r="Y245" s="110">
        <f t="shared" si="710"/>
        <v>0</v>
      </c>
      <c r="Z245" s="110">
        <v>361.57</v>
      </c>
      <c r="AA245" s="110">
        <v>30</v>
      </c>
      <c r="AB245" s="110">
        <f t="shared" si="711"/>
        <v>391.57</v>
      </c>
      <c r="AC245" s="111">
        <f t="shared" si="712"/>
        <v>0</v>
      </c>
      <c r="AD245" s="110">
        <f t="shared" si="880"/>
        <v>391.57</v>
      </c>
      <c r="AE245" s="110">
        <f t="shared" si="881"/>
        <v>0</v>
      </c>
      <c r="AF245" s="110">
        <f t="shared" si="713"/>
        <v>0</v>
      </c>
      <c r="AG245" s="110">
        <f t="shared" si="714"/>
        <v>98</v>
      </c>
      <c r="AH245" s="110">
        <f t="shared" si="715"/>
        <v>0</v>
      </c>
      <c r="AI245" s="129">
        <f t="shared" si="716"/>
        <v>33</v>
      </c>
      <c r="AJ245" s="110">
        <f t="shared" si="717"/>
        <v>0</v>
      </c>
      <c r="AM245" s="110">
        <f t="shared" si="718"/>
        <v>97.89</v>
      </c>
      <c r="AN245" s="110">
        <f t="shared" si="719"/>
        <v>0</v>
      </c>
      <c r="AQ245" s="110">
        <f t="shared" si="720"/>
        <v>195.89</v>
      </c>
      <c r="AR245" s="110">
        <f t="shared" si="721"/>
        <v>0</v>
      </c>
      <c r="AU245" s="110">
        <f t="shared" si="807"/>
        <v>97.89</v>
      </c>
      <c r="AV245" s="110">
        <f t="shared" si="882"/>
        <v>0</v>
      </c>
      <c r="AY245" s="110">
        <f t="shared" si="699"/>
        <v>326.77999999999997</v>
      </c>
      <c r="AZ245" s="110">
        <f t="shared" si="700"/>
        <v>0</v>
      </c>
      <c r="BA245" s="110">
        <f t="shared" si="701"/>
        <v>326.77999999999997</v>
      </c>
      <c r="BB245" s="142">
        <v>326.77999999999997</v>
      </c>
      <c r="BD245" s="142">
        <f t="shared" si="702"/>
        <v>0</v>
      </c>
      <c r="BE245" s="142">
        <f t="shared" si="703"/>
        <v>0</v>
      </c>
      <c r="BF245" s="142">
        <f t="shared" si="704"/>
        <v>65.36</v>
      </c>
      <c r="BG245" s="142">
        <f t="shared" si="705"/>
        <v>0</v>
      </c>
      <c r="BH245" s="110">
        <v>32.4</v>
      </c>
      <c r="BI245" s="110">
        <v>0</v>
      </c>
      <c r="BL245" s="110">
        <f t="shared" si="736"/>
        <v>359.17999999999995</v>
      </c>
      <c r="BM245" s="110">
        <f t="shared" si="737"/>
        <v>0</v>
      </c>
      <c r="BN245" s="110">
        <f t="shared" si="738"/>
        <v>359.17999999999995</v>
      </c>
      <c r="BO245" s="110">
        <v>326.77999999999997</v>
      </c>
      <c r="BP245" s="129"/>
      <c r="BQ245" s="110">
        <f t="shared" si="739"/>
        <v>32.399999999999977</v>
      </c>
      <c r="BR245" s="110">
        <f t="shared" si="740"/>
        <v>0</v>
      </c>
      <c r="BS245" s="110">
        <f t="shared" si="741"/>
        <v>29.71</v>
      </c>
      <c r="BT245" s="110">
        <f t="shared" si="742"/>
        <v>0</v>
      </c>
      <c r="BU245" s="110">
        <f>ROUND(BS245-BQ245,2)</f>
        <v>-2.69</v>
      </c>
      <c r="BV245" s="110">
        <v>0</v>
      </c>
      <c r="BW245" s="111">
        <v>55.39</v>
      </c>
      <c r="CA245" s="110">
        <f t="shared" si="743"/>
        <v>411.87999999999994</v>
      </c>
      <c r="CB245" s="110">
        <f t="shared" si="744"/>
        <v>0</v>
      </c>
    </row>
    <row r="246" spans="1:80" ht="18" x14ac:dyDescent="0.3">
      <c r="A246" s="13">
        <v>6</v>
      </c>
      <c r="B246" s="13"/>
      <c r="C246" s="14"/>
      <c r="D246" s="15" t="s">
        <v>401</v>
      </c>
      <c r="E246" s="16"/>
      <c r="F246" s="82">
        <v>0</v>
      </c>
      <c r="G246" s="82">
        <v>0</v>
      </c>
      <c r="H246" s="82">
        <v>0</v>
      </c>
      <c r="I246" s="17">
        <v>0</v>
      </c>
      <c r="J246" s="87">
        <v>0</v>
      </c>
      <c r="K246" s="88">
        <v>0</v>
      </c>
      <c r="L246" s="88">
        <v>0</v>
      </c>
      <c r="M246" s="88">
        <f t="shared" si="871"/>
        <v>0</v>
      </c>
      <c r="N246" s="88">
        <v>0</v>
      </c>
      <c r="O246" s="88"/>
      <c r="P246" s="88"/>
      <c r="Q246" s="88">
        <f t="shared" si="872"/>
        <v>0</v>
      </c>
      <c r="R246" s="88">
        <f t="shared" si="873"/>
        <v>0</v>
      </c>
      <c r="S246" s="88">
        <v>0</v>
      </c>
      <c r="V246" s="17">
        <f t="shared" si="878"/>
        <v>0</v>
      </c>
      <c r="W246" s="17">
        <f t="shared" si="879"/>
        <v>0</v>
      </c>
      <c r="X246" s="110">
        <f t="shared" si="709"/>
        <v>0</v>
      </c>
      <c r="Y246" s="110">
        <f t="shared" si="710"/>
        <v>0</v>
      </c>
      <c r="Z246" s="110">
        <v>0</v>
      </c>
      <c r="AA246" s="110"/>
      <c r="AB246" s="110">
        <f t="shared" si="711"/>
        <v>0</v>
      </c>
      <c r="AC246" s="111">
        <f t="shared" si="712"/>
        <v>0</v>
      </c>
      <c r="AD246" s="110">
        <f t="shared" si="880"/>
        <v>0</v>
      </c>
      <c r="AE246" s="110">
        <f t="shared" si="881"/>
        <v>0</v>
      </c>
      <c r="AF246" s="110">
        <f t="shared" si="713"/>
        <v>0</v>
      </c>
      <c r="AG246" s="110">
        <f t="shared" si="714"/>
        <v>0</v>
      </c>
      <c r="AH246" s="110">
        <f t="shared" si="715"/>
        <v>0</v>
      </c>
      <c r="AI246" s="129">
        <f t="shared" si="716"/>
        <v>0</v>
      </c>
      <c r="AJ246" s="110">
        <f t="shared" si="717"/>
        <v>0</v>
      </c>
      <c r="AM246" s="110">
        <f t="shared" si="718"/>
        <v>0</v>
      </c>
      <c r="AN246" s="110">
        <f t="shared" si="719"/>
        <v>0</v>
      </c>
      <c r="AQ246" s="110">
        <f t="shared" si="720"/>
        <v>0</v>
      </c>
      <c r="AR246" s="110">
        <f t="shared" si="721"/>
        <v>0</v>
      </c>
      <c r="AU246" s="110">
        <f t="shared" si="807"/>
        <v>0</v>
      </c>
      <c r="AV246" s="110">
        <f t="shared" si="882"/>
        <v>0</v>
      </c>
      <c r="AY246" s="110">
        <f t="shared" si="699"/>
        <v>0</v>
      </c>
      <c r="AZ246" s="110">
        <f t="shared" si="700"/>
        <v>0</v>
      </c>
      <c r="BA246" s="110">
        <f t="shared" si="701"/>
        <v>0</v>
      </c>
      <c r="BB246" s="142">
        <v>0</v>
      </c>
      <c r="BD246" s="142">
        <f t="shared" si="702"/>
        <v>0</v>
      </c>
      <c r="BE246" s="142">
        <f t="shared" si="703"/>
        <v>0</v>
      </c>
      <c r="BF246" s="142">
        <f t="shared" si="704"/>
        <v>0</v>
      </c>
      <c r="BG246" s="142">
        <f t="shared" si="705"/>
        <v>0</v>
      </c>
      <c r="BH246" s="110">
        <v>0</v>
      </c>
      <c r="BI246" s="110">
        <v>0</v>
      </c>
      <c r="BL246" s="110">
        <f t="shared" si="736"/>
        <v>0</v>
      </c>
      <c r="BM246" s="110">
        <f t="shared" si="737"/>
        <v>0</v>
      </c>
      <c r="BN246" s="110">
        <f t="shared" si="738"/>
        <v>0</v>
      </c>
      <c r="BO246" s="110">
        <v>0</v>
      </c>
      <c r="BP246" s="129"/>
      <c r="BQ246" s="110">
        <f t="shared" si="739"/>
        <v>0</v>
      </c>
      <c r="BR246" s="110">
        <f t="shared" si="740"/>
        <v>0</v>
      </c>
      <c r="BS246" s="110">
        <f t="shared" si="741"/>
        <v>0</v>
      </c>
      <c r="BT246" s="110">
        <f t="shared" si="742"/>
        <v>0</v>
      </c>
      <c r="BU246" s="110">
        <f t="shared" si="760"/>
        <v>0</v>
      </c>
      <c r="BV246" s="110">
        <v>0</v>
      </c>
      <c r="CA246" s="110">
        <f t="shared" si="743"/>
        <v>0</v>
      </c>
      <c r="CB246" s="110">
        <f t="shared" si="744"/>
        <v>0</v>
      </c>
    </row>
    <row r="247" spans="1:80" ht="18" x14ac:dyDescent="0.3">
      <c r="A247" s="13">
        <v>7</v>
      </c>
      <c r="B247" s="13"/>
      <c r="C247" s="14"/>
      <c r="D247" s="15" t="s">
        <v>402</v>
      </c>
      <c r="E247" s="16"/>
      <c r="F247" s="82">
        <v>0</v>
      </c>
      <c r="G247" s="82">
        <v>0</v>
      </c>
      <c r="H247" s="82">
        <v>0</v>
      </c>
      <c r="I247" s="17">
        <v>0</v>
      </c>
      <c r="J247" s="87">
        <v>0</v>
      </c>
      <c r="K247" s="88">
        <v>0</v>
      </c>
      <c r="L247" s="88">
        <v>0</v>
      </c>
      <c r="M247" s="88">
        <f t="shared" si="871"/>
        <v>0</v>
      </c>
      <c r="N247" s="88">
        <v>0</v>
      </c>
      <c r="O247" s="88"/>
      <c r="P247" s="88"/>
      <c r="Q247" s="88">
        <f t="shared" si="872"/>
        <v>0</v>
      </c>
      <c r="R247" s="88">
        <f t="shared" si="873"/>
        <v>0</v>
      </c>
      <c r="S247" s="88">
        <v>0</v>
      </c>
      <c r="V247" s="17">
        <f t="shared" si="878"/>
        <v>0</v>
      </c>
      <c r="W247" s="17">
        <f t="shared" si="879"/>
        <v>0</v>
      </c>
      <c r="X247" s="110">
        <f t="shared" si="709"/>
        <v>0</v>
      </c>
      <c r="Y247" s="110">
        <f t="shared" si="710"/>
        <v>0</v>
      </c>
      <c r="Z247" s="110">
        <v>0</v>
      </c>
      <c r="AA247" s="110"/>
      <c r="AB247" s="110">
        <f t="shared" si="711"/>
        <v>0</v>
      </c>
      <c r="AC247" s="111">
        <f t="shared" si="712"/>
        <v>0</v>
      </c>
      <c r="AD247" s="110">
        <f t="shared" si="880"/>
        <v>0</v>
      </c>
      <c r="AE247" s="110">
        <f t="shared" si="881"/>
        <v>0</v>
      </c>
      <c r="AF247" s="110">
        <f t="shared" si="713"/>
        <v>0</v>
      </c>
      <c r="AG247" s="110">
        <f t="shared" si="714"/>
        <v>0</v>
      </c>
      <c r="AH247" s="110">
        <f t="shared" si="715"/>
        <v>0</v>
      </c>
      <c r="AI247" s="129">
        <f t="shared" si="716"/>
        <v>0</v>
      </c>
      <c r="AJ247" s="110">
        <f t="shared" si="717"/>
        <v>0</v>
      </c>
      <c r="AM247" s="110">
        <f t="shared" si="718"/>
        <v>0</v>
      </c>
      <c r="AN247" s="110">
        <f t="shared" si="719"/>
        <v>0</v>
      </c>
      <c r="AQ247" s="110">
        <f t="shared" si="720"/>
        <v>0</v>
      </c>
      <c r="AR247" s="110">
        <f t="shared" si="721"/>
        <v>0</v>
      </c>
      <c r="AU247" s="110">
        <f t="shared" si="807"/>
        <v>0</v>
      </c>
      <c r="AV247" s="110">
        <f t="shared" si="882"/>
        <v>0</v>
      </c>
      <c r="AY247" s="110">
        <f t="shared" si="699"/>
        <v>0</v>
      </c>
      <c r="AZ247" s="110">
        <f t="shared" si="700"/>
        <v>0</v>
      </c>
      <c r="BA247" s="110">
        <f t="shared" si="701"/>
        <v>0</v>
      </c>
      <c r="BB247" s="142">
        <v>0</v>
      </c>
      <c r="BD247" s="142">
        <f t="shared" si="702"/>
        <v>0</v>
      </c>
      <c r="BE247" s="142">
        <f t="shared" si="703"/>
        <v>0</v>
      </c>
      <c r="BF247" s="142">
        <f t="shared" si="704"/>
        <v>0</v>
      </c>
      <c r="BG247" s="142">
        <f t="shared" si="705"/>
        <v>0</v>
      </c>
      <c r="BH247" s="110">
        <v>0</v>
      </c>
      <c r="BI247" s="110">
        <v>0</v>
      </c>
      <c r="BL247" s="110">
        <f t="shared" si="736"/>
        <v>0</v>
      </c>
      <c r="BM247" s="110">
        <f t="shared" si="737"/>
        <v>0</v>
      </c>
      <c r="BN247" s="110">
        <f t="shared" si="738"/>
        <v>0</v>
      </c>
      <c r="BO247" s="110">
        <v>0</v>
      </c>
      <c r="BP247" s="129"/>
      <c r="BQ247" s="110">
        <f t="shared" si="739"/>
        <v>0</v>
      </c>
      <c r="BR247" s="110">
        <f t="shared" si="740"/>
        <v>0</v>
      </c>
      <c r="BS247" s="110">
        <f t="shared" si="741"/>
        <v>0</v>
      </c>
      <c r="BT247" s="110">
        <f t="shared" si="742"/>
        <v>0</v>
      </c>
      <c r="BU247" s="110">
        <f t="shared" si="760"/>
        <v>0</v>
      </c>
      <c r="BV247" s="110">
        <v>0</v>
      </c>
      <c r="CA247" s="110">
        <f t="shared" si="743"/>
        <v>0</v>
      </c>
      <c r="CB247" s="110">
        <f t="shared" si="744"/>
        <v>0</v>
      </c>
    </row>
    <row r="248" spans="1:80" ht="18" x14ac:dyDescent="0.3">
      <c r="A248" s="23"/>
      <c r="B248" s="23" t="s">
        <v>403</v>
      </c>
      <c r="C248" s="24" t="s">
        <v>94</v>
      </c>
      <c r="D248" s="25" t="s">
        <v>396</v>
      </c>
      <c r="E248" s="26" t="s">
        <v>404</v>
      </c>
      <c r="F248" s="65">
        <v>5514.34</v>
      </c>
      <c r="G248" s="65">
        <v>2183.8200000000002</v>
      </c>
      <c r="H248" s="65">
        <v>5514.34</v>
      </c>
      <c r="I248" s="65">
        <v>2183.8200000000002</v>
      </c>
      <c r="J248" s="98">
        <f t="shared" ref="J248:AA248" si="884">+J241+J242+J243+J244+J245+J246+J247</f>
        <v>6343.63</v>
      </c>
      <c r="K248" s="98">
        <f t="shared" si="884"/>
        <v>0</v>
      </c>
      <c r="L248" s="98">
        <f t="shared" si="884"/>
        <v>0</v>
      </c>
      <c r="M248" s="98">
        <f t="shared" si="884"/>
        <v>6343.63</v>
      </c>
      <c r="N248" s="98">
        <f t="shared" si="884"/>
        <v>189.74</v>
      </c>
      <c r="O248" s="98">
        <f t="shared" si="884"/>
        <v>0</v>
      </c>
      <c r="P248" s="98">
        <f t="shared" si="884"/>
        <v>0</v>
      </c>
      <c r="Q248" s="98">
        <f t="shared" si="884"/>
        <v>189.74</v>
      </c>
      <c r="R248" s="98">
        <f t="shared" si="884"/>
        <v>6533.37</v>
      </c>
      <c r="S248" s="98">
        <f t="shared" si="884"/>
        <v>2500</v>
      </c>
      <c r="T248" s="98">
        <f t="shared" si="884"/>
        <v>0</v>
      </c>
      <c r="U248" s="98">
        <f t="shared" si="884"/>
        <v>0</v>
      </c>
      <c r="V248" s="98">
        <f t="shared" si="884"/>
        <v>5835.83</v>
      </c>
      <c r="W248" s="98">
        <f t="shared" si="884"/>
        <v>2255.23</v>
      </c>
      <c r="X248" s="98">
        <f t="shared" si="884"/>
        <v>697.54000000000008</v>
      </c>
      <c r="Y248" s="98">
        <f t="shared" si="884"/>
        <v>244.76999999999998</v>
      </c>
      <c r="Z248" s="98">
        <f t="shared" si="884"/>
        <v>5680.83</v>
      </c>
      <c r="AA248" s="98">
        <f t="shared" si="884"/>
        <v>155</v>
      </c>
      <c r="AB248" s="65">
        <f t="shared" si="711"/>
        <v>5835.83</v>
      </c>
      <c r="AC248" s="111">
        <f t="shared" si="712"/>
        <v>0</v>
      </c>
      <c r="AD248" s="65">
        <f t="shared" ref="AD248:CB248" si="885">+AD241+AD242+AD243+AD244+AD245+AD246+AD247</f>
        <v>5835.83</v>
      </c>
      <c r="AE248" s="65">
        <f t="shared" si="885"/>
        <v>2255.23</v>
      </c>
      <c r="AF248" s="65">
        <f t="shared" si="885"/>
        <v>2255.5</v>
      </c>
      <c r="AG248" s="65">
        <f t="shared" si="885"/>
        <v>1458</v>
      </c>
      <c r="AH248" s="65">
        <f t="shared" si="885"/>
        <v>564</v>
      </c>
      <c r="AI248" s="135">
        <f t="shared" si="885"/>
        <v>486</v>
      </c>
      <c r="AJ248" s="65">
        <f t="shared" si="885"/>
        <v>188</v>
      </c>
      <c r="AK248" s="65">
        <f t="shared" si="885"/>
        <v>0</v>
      </c>
      <c r="AL248" s="65">
        <f t="shared" si="885"/>
        <v>0</v>
      </c>
      <c r="AM248" s="65">
        <f t="shared" si="885"/>
        <v>1458.9600000000003</v>
      </c>
      <c r="AN248" s="65">
        <f t="shared" si="885"/>
        <v>549.15</v>
      </c>
      <c r="AO248" s="65">
        <f t="shared" si="885"/>
        <v>0</v>
      </c>
      <c r="AP248" s="65">
        <f t="shared" si="885"/>
        <v>0</v>
      </c>
      <c r="AQ248" s="65">
        <f t="shared" si="885"/>
        <v>2916.9599999999996</v>
      </c>
      <c r="AR248" s="65">
        <f t="shared" si="885"/>
        <v>1113.1500000000001</v>
      </c>
      <c r="AS248" s="65">
        <f t="shared" si="885"/>
        <v>0</v>
      </c>
      <c r="AT248" s="65">
        <f t="shared" si="885"/>
        <v>0</v>
      </c>
      <c r="AU248" s="65">
        <f t="shared" si="885"/>
        <v>1458.9600000000003</v>
      </c>
      <c r="AV248" s="65">
        <f t="shared" si="885"/>
        <v>563.80999999999995</v>
      </c>
      <c r="AW248" s="65">
        <f t="shared" si="885"/>
        <v>0</v>
      </c>
      <c r="AX248" s="65">
        <f t="shared" si="885"/>
        <v>506.5</v>
      </c>
      <c r="AY248" s="65">
        <f t="shared" si="885"/>
        <v>4861.92</v>
      </c>
      <c r="AZ248" s="65">
        <f t="shared" si="885"/>
        <v>2371.46</v>
      </c>
      <c r="BA248" s="65">
        <f t="shared" si="885"/>
        <v>7233.38</v>
      </c>
      <c r="BB248" s="65">
        <f t="shared" si="885"/>
        <v>4890.84</v>
      </c>
      <c r="BC248" s="65">
        <f t="shared" si="885"/>
        <v>2296.44</v>
      </c>
      <c r="BD248" s="65">
        <f t="shared" si="885"/>
        <v>-28.919999999999959</v>
      </c>
      <c r="BE248" s="65">
        <f t="shared" si="885"/>
        <v>75.019999999999982</v>
      </c>
      <c r="BF248" s="65">
        <f t="shared" si="885"/>
        <v>978.18000000000018</v>
      </c>
      <c r="BG248" s="135">
        <f t="shared" si="885"/>
        <v>459.29</v>
      </c>
      <c r="BH248" s="135">
        <f t="shared" si="885"/>
        <v>492.27</v>
      </c>
      <c r="BI248" s="135">
        <f t="shared" si="885"/>
        <v>150</v>
      </c>
      <c r="BJ248" s="135">
        <f t="shared" si="885"/>
        <v>0</v>
      </c>
      <c r="BK248" s="135">
        <f t="shared" si="885"/>
        <v>150</v>
      </c>
      <c r="BL248" s="135">
        <f t="shared" si="885"/>
        <v>5354.1900000000005</v>
      </c>
      <c r="BM248" s="135">
        <f t="shared" si="885"/>
        <v>2671.46</v>
      </c>
      <c r="BN248" s="135">
        <f t="shared" si="885"/>
        <v>8025.6500000000005</v>
      </c>
      <c r="BO248" s="135">
        <f t="shared" si="885"/>
        <v>5123.7299999999996</v>
      </c>
      <c r="BP248" s="135">
        <f t="shared" si="885"/>
        <v>2596.39</v>
      </c>
      <c r="BQ248" s="65">
        <f t="shared" si="885"/>
        <v>230.46000000000015</v>
      </c>
      <c r="BR248" s="65">
        <f t="shared" si="885"/>
        <v>75.070000000000164</v>
      </c>
      <c r="BS248" s="65">
        <f t="shared" si="885"/>
        <v>465.78999999999996</v>
      </c>
      <c r="BT248" s="65">
        <f t="shared" si="885"/>
        <v>236.04</v>
      </c>
      <c r="BU248" s="65">
        <f t="shared" si="885"/>
        <v>235.32999999999998</v>
      </c>
      <c r="BV248" s="65">
        <f t="shared" si="885"/>
        <v>200</v>
      </c>
      <c r="BW248" s="65">
        <f t="shared" si="885"/>
        <v>415.55</v>
      </c>
      <c r="BX248" s="65">
        <f t="shared" si="885"/>
        <v>69.66</v>
      </c>
      <c r="BY248" s="65">
        <f t="shared" si="885"/>
        <v>0</v>
      </c>
      <c r="BZ248" s="65">
        <f t="shared" si="885"/>
        <v>0</v>
      </c>
      <c r="CA248" s="65">
        <f t="shared" si="885"/>
        <v>6005.0700000000006</v>
      </c>
      <c r="CB248" s="65">
        <f t="shared" si="885"/>
        <v>2941.12</v>
      </c>
    </row>
    <row r="249" spans="1:80" ht="18" x14ac:dyDescent="0.3">
      <c r="A249" s="13">
        <v>8</v>
      </c>
      <c r="B249" s="13"/>
      <c r="C249" s="14"/>
      <c r="D249" s="15" t="s">
        <v>405</v>
      </c>
      <c r="E249" s="16"/>
      <c r="F249" s="82">
        <v>1185.83</v>
      </c>
      <c r="G249" s="82">
        <v>111.77000000000002</v>
      </c>
      <c r="H249" s="82">
        <v>1185.83</v>
      </c>
      <c r="I249" s="17">
        <v>87.000000000000014</v>
      </c>
      <c r="J249" s="87">
        <v>1238</v>
      </c>
      <c r="K249" s="88"/>
      <c r="L249" s="88"/>
      <c r="M249" s="88">
        <f t="shared" si="871"/>
        <v>1238</v>
      </c>
      <c r="N249" s="88">
        <v>0</v>
      </c>
      <c r="O249" s="88"/>
      <c r="P249" s="88"/>
      <c r="Q249" s="88">
        <f t="shared" ref="Q249:Q252" si="886">N249+O249+P249</f>
        <v>0</v>
      </c>
      <c r="R249" s="88">
        <f t="shared" si="873"/>
        <v>1238</v>
      </c>
      <c r="S249" s="88">
        <v>15</v>
      </c>
      <c r="V249" s="17">
        <f t="shared" ref="V249" si="887">ROUND(H249*1.0583,2)</f>
        <v>1254.96</v>
      </c>
      <c r="W249" s="17">
        <f t="shared" ref="W249" si="888">ROUND(I249*1.0327,2)</f>
        <v>89.84</v>
      </c>
      <c r="X249" s="110">
        <f t="shared" si="709"/>
        <v>-16.960000000000036</v>
      </c>
      <c r="Y249" s="110">
        <f t="shared" si="710"/>
        <v>-74.84</v>
      </c>
      <c r="Z249" s="110">
        <v>1238</v>
      </c>
      <c r="AA249" s="110"/>
      <c r="AB249" s="110">
        <f t="shared" si="711"/>
        <v>1238</v>
      </c>
      <c r="AC249" s="111">
        <f t="shared" si="712"/>
        <v>0</v>
      </c>
      <c r="AD249" s="110">
        <f t="shared" ref="AD249" si="889">IF(X249&gt;0,V249,R249)</f>
        <v>1238</v>
      </c>
      <c r="AE249" s="110">
        <f>IF(Y249&gt;0,W249,S249)-10</f>
        <v>5</v>
      </c>
      <c r="AF249" s="110">
        <f t="shared" si="713"/>
        <v>13.53</v>
      </c>
      <c r="AG249" s="110">
        <f t="shared" si="714"/>
        <v>310</v>
      </c>
      <c r="AH249" s="110">
        <v>4</v>
      </c>
      <c r="AI249" s="129">
        <f t="shared" si="716"/>
        <v>103</v>
      </c>
      <c r="AJ249" s="110">
        <v>1</v>
      </c>
      <c r="AM249" s="110">
        <f t="shared" si="718"/>
        <v>309.5</v>
      </c>
      <c r="AN249" s="110">
        <f>ROUND(AE249*24.35%,2)-1.22</f>
        <v>0</v>
      </c>
      <c r="AQ249" s="110">
        <f t="shared" si="720"/>
        <v>619.5</v>
      </c>
      <c r="AR249" s="110">
        <f t="shared" si="721"/>
        <v>4</v>
      </c>
      <c r="AU249" s="110">
        <f t="shared" si="807"/>
        <v>309.5</v>
      </c>
      <c r="AV249" s="110">
        <f>ROUND(AE249*25%,2)-1.25</f>
        <v>0</v>
      </c>
      <c r="AY249" s="110">
        <f t="shared" si="699"/>
        <v>1032</v>
      </c>
      <c r="AZ249" s="110">
        <f t="shared" si="700"/>
        <v>5</v>
      </c>
      <c r="BA249" s="110">
        <f t="shared" si="701"/>
        <v>1037</v>
      </c>
      <c r="BB249" s="142">
        <v>957.45</v>
      </c>
      <c r="BC249" s="142">
        <v>3.71</v>
      </c>
      <c r="BD249" s="142">
        <f t="shared" si="702"/>
        <v>74.549999999999955</v>
      </c>
      <c r="BE249" s="142">
        <f t="shared" si="703"/>
        <v>1.29</v>
      </c>
      <c r="BF249" s="142">
        <f t="shared" si="704"/>
        <v>191.49</v>
      </c>
      <c r="BG249" s="142">
        <f t="shared" si="705"/>
        <v>0.74</v>
      </c>
      <c r="BH249" s="110">
        <v>58.47</v>
      </c>
      <c r="BI249" s="110">
        <v>0</v>
      </c>
      <c r="BL249" s="110">
        <f t="shared" si="736"/>
        <v>1090.47</v>
      </c>
      <c r="BM249" s="110">
        <f t="shared" si="737"/>
        <v>5</v>
      </c>
      <c r="BN249" s="110">
        <f t="shared" si="738"/>
        <v>1095.47</v>
      </c>
      <c r="BO249" s="110">
        <v>1060.1500000000001</v>
      </c>
      <c r="BP249" s="129">
        <v>3.74</v>
      </c>
      <c r="BQ249" s="110">
        <f t="shared" si="739"/>
        <v>30.319999999999936</v>
      </c>
      <c r="BR249" s="110">
        <f t="shared" si="740"/>
        <v>1.2599999999999998</v>
      </c>
      <c r="BS249" s="110">
        <f t="shared" si="741"/>
        <v>96.38</v>
      </c>
      <c r="BT249" s="110">
        <f t="shared" si="742"/>
        <v>0.34</v>
      </c>
      <c r="BU249" s="110">
        <v>66.06</v>
      </c>
      <c r="BV249" s="110">
        <v>0</v>
      </c>
      <c r="BW249" s="111">
        <v>6</v>
      </c>
      <c r="BX249" s="110">
        <v>0.74</v>
      </c>
      <c r="CA249" s="110">
        <f t="shared" si="743"/>
        <v>1162.53</v>
      </c>
      <c r="CB249" s="110">
        <f t="shared" si="744"/>
        <v>5.74</v>
      </c>
    </row>
    <row r="250" spans="1:80" ht="18" x14ac:dyDescent="0.3">
      <c r="A250" s="13">
        <v>9</v>
      </c>
      <c r="B250" s="13"/>
      <c r="C250" s="14"/>
      <c r="D250" s="15" t="s">
        <v>406</v>
      </c>
      <c r="E250" s="16"/>
      <c r="F250" s="82">
        <v>289.71999999999997</v>
      </c>
      <c r="G250" s="82">
        <v>0</v>
      </c>
      <c r="H250" s="82">
        <v>238.7</v>
      </c>
      <c r="I250" s="17">
        <v>0</v>
      </c>
      <c r="J250" s="87">
        <v>230</v>
      </c>
      <c r="K250" s="88"/>
      <c r="L250" s="88"/>
      <c r="M250" s="88">
        <f t="shared" si="871"/>
        <v>230</v>
      </c>
      <c r="N250" s="88">
        <v>7.7</v>
      </c>
      <c r="O250" s="88"/>
      <c r="P250" s="88"/>
      <c r="Q250" s="88">
        <f t="shared" si="886"/>
        <v>7.7</v>
      </c>
      <c r="R250" s="88">
        <f t="shared" si="873"/>
        <v>237.7</v>
      </c>
      <c r="S250" s="88"/>
      <c r="V250" s="17">
        <f t="shared" ref="V250:V252" si="890">ROUND(H250*1.0583,2)</f>
        <v>252.62</v>
      </c>
      <c r="W250" s="17">
        <f t="shared" ref="W250:W252" si="891">ROUND(I250*1.0327,2)</f>
        <v>0</v>
      </c>
      <c r="X250" s="110">
        <f t="shared" si="709"/>
        <v>-14.920000000000016</v>
      </c>
      <c r="Y250" s="110">
        <f t="shared" si="710"/>
        <v>0</v>
      </c>
      <c r="Z250" s="110">
        <v>230</v>
      </c>
      <c r="AA250" s="110">
        <v>7.7</v>
      </c>
      <c r="AB250" s="110">
        <f t="shared" si="711"/>
        <v>237.7</v>
      </c>
      <c r="AC250" s="111">
        <f t="shared" si="712"/>
        <v>0</v>
      </c>
      <c r="AD250" s="110">
        <f t="shared" ref="AD250:AD252" si="892">IF(X250&gt;0,V250,R250)</f>
        <v>237.7</v>
      </c>
      <c r="AE250" s="110">
        <f t="shared" ref="AE250:AE252" si="893">IF(Y250&gt;0,W250,S250)</f>
        <v>0</v>
      </c>
      <c r="AF250" s="110">
        <f t="shared" si="713"/>
        <v>0</v>
      </c>
      <c r="AG250" s="110">
        <f t="shared" si="714"/>
        <v>59</v>
      </c>
      <c r="AH250" s="110">
        <f t="shared" si="715"/>
        <v>0</v>
      </c>
      <c r="AI250" s="129">
        <f t="shared" si="716"/>
        <v>20</v>
      </c>
      <c r="AJ250" s="110">
        <f t="shared" si="717"/>
        <v>0</v>
      </c>
      <c r="AM250" s="110">
        <f t="shared" si="718"/>
        <v>59.43</v>
      </c>
      <c r="AN250" s="110">
        <f t="shared" si="719"/>
        <v>0</v>
      </c>
      <c r="AQ250" s="110">
        <f t="shared" si="720"/>
        <v>118.43</v>
      </c>
      <c r="AR250" s="110">
        <f t="shared" si="721"/>
        <v>0</v>
      </c>
      <c r="AU250" s="110">
        <f t="shared" si="807"/>
        <v>59.43</v>
      </c>
      <c r="AV250" s="110">
        <f t="shared" si="882"/>
        <v>0</v>
      </c>
      <c r="AY250" s="110">
        <f t="shared" si="699"/>
        <v>197.86</v>
      </c>
      <c r="AZ250" s="110">
        <f t="shared" si="700"/>
        <v>0</v>
      </c>
      <c r="BA250" s="110">
        <f t="shared" si="701"/>
        <v>197.86</v>
      </c>
      <c r="BB250" s="142">
        <v>197.86</v>
      </c>
      <c r="BD250" s="142">
        <f t="shared" si="702"/>
        <v>0</v>
      </c>
      <c r="BE250" s="142">
        <f t="shared" si="703"/>
        <v>0</v>
      </c>
      <c r="BF250" s="142">
        <f t="shared" si="704"/>
        <v>39.57</v>
      </c>
      <c r="BG250" s="142">
        <f t="shared" si="705"/>
        <v>0</v>
      </c>
      <c r="BH250" s="110">
        <v>19.79</v>
      </c>
      <c r="BI250" s="110">
        <v>0</v>
      </c>
      <c r="BL250" s="110">
        <f t="shared" si="736"/>
        <v>217.65</v>
      </c>
      <c r="BM250" s="110">
        <f t="shared" si="737"/>
        <v>0</v>
      </c>
      <c r="BN250" s="110">
        <f t="shared" si="738"/>
        <v>217.65</v>
      </c>
      <c r="BO250" s="110">
        <v>197.86</v>
      </c>
      <c r="BP250" s="129"/>
      <c r="BQ250" s="110">
        <f t="shared" si="739"/>
        <v>19.789999999999992</v>
      </c>
      <c r="BR250" s="110">
        <f t="shared" si="740"/>
        <v>0</v>
      </c>
      <c r="BS250" s="110">
        <f t="shared" si="741"/>
        <v>17.989999999999998</v>
      </c>
      <c r="BT250" s="110">
        <f t="shared" si="742"/>
        <v>0</v>
      </c>
      <c r="BU250" s="110">
        <v>-1.8</v>
      </c>
      <c r="BV250" s="110">
        <v>0</v>
      </c>
      <c r="BW250" s="111">
        <v>41.05</v>
      </c>
      <c r="CA250" s="110">
        <f t="shared" si="743"/>
        <v>256.89999999999998</v>
      </c>
      <c r="CB250" s="110">
        <f t="shared" si="744"/>
        <v>0</v>
      </c>
    </row>
    <row r="251" spans="1:80" ht="18" x14ac:dyDescent="0.3">
      <c r="A251" s="13">
        <v>10</v>
      </c>
      <c r="B251" s="13"/>
      <c r="C251" s="14"/>
      <c r="D251" s="15" t="s">
        <v>407</v>
      </c>
      <c r="E251" s="16"/>
      <c r="F251" s="82">
        <v>1622.13</v>
      </c>
      <c r="G251" s="82">
        <v>0</v>
      </c>
      <c r="H251" s="82">
        <v>1697.92</v>
      </c>
      <c r="I251" s="17">
        <v>0</v>
      </c>
      <c r="J251" s="87">
        <v>1993</v>
      </c>
      <c r="K251" s="88"/>
      <c r="L251" s="88"/>
      <c r="M251" s="88">
        <f t="shared" si="871"/>
        <v>1993</v>
      </c>
      <c r="N251" s="88">
        <v>82</v>
      </c>
      <c r="O251" s="88"/>
      <c r="P251" s="88"/>
      <c r="Q251" s="88">
        <f t="shared" si="886"/>
        <v>82</v>
      </c>
      <c r="R251" s="88">
        <f t="shared" si="873"/>
        <v>2075</v>
      </c>
      <c r="S251" s="88"/>
      <c r="V251" s="17">
        <f t="shared" si="890"/>
        <v>1796.91</v>
      </c>
      <c r="W251" s="17">
        <f t="shared" si="891"/>
        <v>0</v>
      </c>
      <c r="X251" s="110">
        <f t="shared" si="709"/>
        <v>278.08999999999992</v>
      </c>
      <c r="Y251" s="110">
        <f t="shared" si="710"/>
        <v>0</v>
      </c>
      <c r="Z251" s="110">
        <v>1736.91</v>
      </c>
      <c r="AA251" s="110">
        <v>60</v>
      </c>
      <c r="AB251" s="110">
        <f t="shared" si="711"/>
        <v>1796.91</v>
      </c>
      <c r="AC251" s="111">
        <f t="shared" si="712"/>
        <v>0</v>
      </c>
      <c r="AD251" s="110">
        <f t="shared" si="892"/>
        <v>1796.91</v>
      </c>
      <c r="AE251" s="110">
        <f t="shared" si="893"/>
        <v>0</v>
      </c>
      <c r="AF251" s="110">
        <f t="shared" si="713"/>
        <v>0</v>
      </c>
      <c r="AG251" s="110">
        <f t="shared" si="714"/>
        <v>449</v>
      </c>
      <c r="AH251" s="110">
        <f t="shared" si="715"/>
        <v>0</v>
      </c>
      <c r="AI251" s="129">
        <f t="shared" si="716"/>
        <v>150</v>
      </c>
      <c r="AJ251" s="110">
        <f t="shared" si="717"/>
        <v>0</v>
      </c>
      <c r="AM251" s="110">
        <f t="shared" si="718"/>
        <v>449.23</v>
      </c>
      <c r="AN251" s="110">
        <f t="shared" si="719"/>
        <v>0</v>
      </c>
      <c r="AQ251" s="110">
        <f t="shared" si="720"/>
        <v>898.23</v>
      </c>
      <c r="AR251" s="110">
        <f t="shared" si="721"/>
        <v>0</v>
      </c>
      <c r="AU251" s="110">
        <f t="shared" si="807"/>
        <v>449.23</v>
      </c>
      <c r="AV251" s="110">
        <f t="shared" si="882"/>
        <v>0</v>
      </c>
      <c r="AY251" s="110">
        <f t="shared" si="699"/>
        <v>1497.46</v>
      </c>
      <c r="AZ251" s="110">
        <f t="shared" si="700"/>
        <v>0</v>
      </c>
      <c r="BA251" s="110">
        <f t="shared" si="701"/>
        <v>1497.46</v>
      </c>
      <c r="BB251" s="142">
        <v>1497.46</v>
      </c>
      <c r="BD251" s="142">
        <f t="shared" si="702"/>
        <v>0</v>
      </c>
      <c r="BE251" s="142">
        <f t="shared" si="703"/>
        <v>0</v>
      </c>
      <c r="BF251" s="142">
        <f t="shared" si="704"/>
        <v>299.49</v>
      </c>
      <c r="BG251" s="142">
        <f t="shared" si="705"/>
        <v>0</v>
      </c>
      <c r="BH251" s="110">
        <v>149.72999999999999</v>
      </c>
      <c r="BI251" s="110">
        <v>0</v>
      </c>
      <c r="BL251" s="110">
        <f t="shared" si="736"/>
        <v>1647.19</v>
      </c>
      <c r="BM251" s="110">
        <f t="shared" si="737"/>
        <v>0</v>
      </c>
      <c r="BN251" s="110">
        <f t="shared" si="738"/>
        <v>1647.19</v>
      </c>
      <c r="BO251" s="110">
        <v>1647.19</v>
      </c>
      <c r="BP251" s="129"/>
      <c r="BQ251" s="110">
        <f t="shared" si="739"/>
        <v>0</v>
      </c>
      <c r="BR251" s="110">
        <f t="shared" si="740"/>
        <v>0</v>
      </c>
      <c r="BS251" s="110">
        <f t="shared" si="741"/>
        <v>149.74</v>
      </c>
      <c r="BT251" s="110">
        <f t="shared" si="742"/>
        <v>0</v>
      </c>
      <c r="BU251" s="111">
        <f>BS251-BQ251+100</f>
        <v>249.74</v>
      </c>
      <c r="BV251" s="110">
        <v>0</v>
      </c>
      <c r="BW251" s="111">
        <v>128.27000000000001</v>
      </c>
      <c r="CA251" s="110">
        <f t="shared" si="743"/>
        <v>2025.2</v>
      </c>
      <c r="CB251" s="110">
        <f t="shared" si="744"/>
        <v>0</v>
      </c>
    </row>
    <row r="252" spans="1:80" ht="18" x14ac:dyDescent="0.3">
      <c r="A252" s="13">
        <v>11</v>
      </c>
      <c r="B252" s="13"/>
      <c r="C252" s="14"/>
      <c r="D252" s="15" t="s">
        <v>408</v>
      </c>
      <c r="E252" s="16"/>
      <c r="F252" s="82">
        <v>0</v>
      </c>
      <c r="G252" s="82">
        <v>0</v>
      </c>
      <c r="H252" s="82">
        <v>0</v>
      </c>
      <c r="I252" s="17">
        <v>0</v>
      </c>
      <c r="J252" s="87">
        <v>0</v>
      </c>
      <c r="K252" s="88"/>
      <c r="L252" s="88"/>
      <c r="M252" s="88">
        <f t="shared" si="871"/>
        <v>0</v>
      </c>
      <c r="N252" s="88">
        <v>0</v>
      </c>
      <c r="O252" s="88"/>
      <c r="P252" s="88"/>
      <c r="Q252" s="88">
        <f t="shared" si="886"/>
        <v>0</v>
      </c>
      <c r="R252" s="88">
        <f t="shared" si="873"/>
        <v>0</v>
      </c>
      <c r="S252" s="88"/>
      <c r="V252" s="17">
        <f t="shared" si="890"/>
        <v>0</v>
      </c>
      <c r="W252" s="17">
        <f t="shared" si="891"/>
        <v>0</v>
      </c>
      <c r="X252" s="110">
        <f t="shared" si="709"/>
        <v>0</v>
      </c>
      <c r="Y252" s="110">
        <f t="shared" si="710"/>
        <v>0</v>
      </c>
      <c r="Z252" s="110"/>
      <c r="AA252" s="110"/>
      <c r="AB252" s="110">
        <f t="shared" si="711"/>
        <v>0</v>
      </c>
      <c r="AC252" s="111">
        <f t="shared" si="712"/>
        <v>0</v>
      </c>
      <c r="AD252" s="110">
        <f t="shared" si="892"/>
        <v>0</v>
      </c>
      <c r="AE252" s="110">
        <f t="shared" si="893"/>
        <v>0</v>
      </c>
      <c r="AF252" s="110">
        <f t="shared" si="713"/>
        <v>0</v>
      </c>
      <c r="AG252" s="110">
        <f t="shared" si="714"/>
        <v>0</v>
      </c>
      <c r="AH252" s="110">
        <f t="shared" si="715"/>
        <v>0</v>
      </c>
      <c r="AI252" s="129">
        <f t="shared" si="716"/>
        <v>0</v>
      </c>
      <c r="AJ252" s="110">
        <f t="shared" si="717"/>
        <v>0</v>
      </c>
      <c r="AM252" s="110">
        <f t="shared" si="718"/>
        <v>0</v>
      </c>
      <c r="AN252" s="110">
        <f t="shared" si="719"/>
        <v>0</v>
      </c>
      <c r="AQ252" s="110">
        <f t="shared" si="720"/>
        <v>0</v>
      </c>
      <c r="AR252" s="110">
        <f t="shared" si="721"/>
        <v>0</v>
      </c>
      <c r="AU252" s="110">
        <f t="shared" si="807"/>
        <v>0</v>
      </c>
      <c r="AV252" s="110">
        <f t="shared" si="882"/>
        <v>0</v>
      </c>
      <c r="AY252" s="110">
        <f t="shared" si="699"/>
        <v>0</v>
      </c>
      <c r="AZ252" s="110">
        <f t="shared" si="700"/>
        <v>0</v>
      </c>
      <c r="BA252" s="110">
        <f t="shared" si="701"/>
        <v>0</v>
      </c>
      <c r="BB252" s="142">
        <v>0</v>
      </c>
      <c r="BD252" s="142">
        <f t="shared" si="702"/>
        <v>0</v>
      </c>
      <c r="BE252" s="142">
        <f t="shared" si="703"/>
        <v>0</v>
      </c>
      <c r="BF252" s="142">
        <f t="shared" si="704"/>
        <v>0</v>
      </c>
      <c r="BG252" s="142">
        <f t="shared" si="705"/>
        <v>0</v>
      </c>
      <c r="BH252" s="110">
        <v>0</v>
      </c>
      <c r="BI252" s="110">
        <v>0</v>
      </c>
      <c r="BL252" s="110">
        <f t="shared" si="736"/>
        <v>0</v>
      </c>
      <c r="BM252" s="110">
        <f t="shared" si="737"/>
        <v>0</v>
      </c>
      <c r="BN252" s="110">
        <f t="shared" si="738"/>
        <v>0</v>
      </c>
      <c r="BO252" s="110">
        <v>0</v>
      </c>
      <c r="BP252" s="129"/>
      <c r="BQ252" s="110">
        <f t="shared" si="739"/>
        <v>0</v>
      </c>
      <c r="BR252" s="110">
        <f t="shared" si="740"/>
        <v>0</v>
      </c>
      <c r="BS252" s="110">
        <f t="shared" si="741"/>
        <v>0</v>
      </c>
      <c r="BT252" s="110">
        <f t="shared" si="742"/>
        <v>0</v>
      </c>
      <c r="BU252" s="110">
        <f t="shared" si="760"/>
        <v>0</v>
      </c>
      <c r="BV252" s="110">
        <v>0</v>
      </c>
      <c r="CA252" s="110">
        <f t="shared" si="743"/>
        <v>0</v>
      </c>
      <c r="CB252" s="110">
        <f t="shared" si="744"/>
        <v>0</v>
      </c>
    </row>
    <row r="253" spans="1:80" ht="18" x14ac:dyDescent="0.3">
      <c r="A253" s="23">
        <f>SRL10</f>
        <v>0</v>
      </c>
      <c r="B253" s="23" t="s">
        <v>409</v>
      </c>
      <c r="C253" s="24" t="s">
        <v>104</v>
      </c>
      <c r="D253" s="25" t="s">
        <v>405</v>
      </c>
      <c r="E253" s="26" t="s">
        <v>410</v>
      </c>
      <c r="F253" s="65">
        <v>3097.6800000000003</v>
      </c>
      <c r="G253" s="65">
        <v>111.77000000000002</v>
      </c>
      <c r="H253" s="65">
        <v>3122.45</v>
      </c>
      <c r="I253" s="65">
        <v>87.000000000000014</v>
      </c>
      <c r="J253" s="98">
        <f t="shared" ref="J253:AA253" si="894">+J249+J250+J251+J252</f>
        <v>3461</v>
      </c>
      <c r="K253" s="98">
        <f t="shared" si="894"/>
        <v>0</v>
      </c>
      <c r="L253" s="98">
        <f t="shared" si="894"/>
        <v>0</v>
      </c>
      <c r="M253" s="98">
        <f t="shared" si="894"/>
        <v>3461</v>
      </c>
      <c r="N253" s="98">
        <f t="shared" si="894"/>
        <v>89.7</v>
      </c>
      <c r="O253" s="98">
        <f t="shared" si="894"/>
        <v>0</v>
      </c>
      <c r="P253" s="98">
        <f t="shared" si="894"/>
        <v>0</v>
      </c>
      <c r="Q253" s="98">
        <f t="shared" si="894"/>
        <v>89.7</v>
      </c>
      <c r="R253" s="98">
        <f t="shared" si="894"/>
        <v>3550.7</v>
      </c>
      <c r="S253" s="98">
        <f t="shared" si="894"/>
        <v>15</v>
      </c>
      <c r="T253" s="98">
        <f t="shared" si="894"/>
        <v>0</v>
      </c>
      <c r="U253" s="98">
        <f t="shared" si="894"/>
        <v>0</v>
      </c>
      <c r="V253" s="98">
        <f t="shared" si="894"/>
        <v>3304.49</v>
      </c>
      <c r="W253" s="98">
        <f t="shared" si="894"/>
        <v>89.84</v>
      </c>
      <c r="X253" s="98">
        <f t="shared" si="894"/>
        <v>246.20999999999987</v>
      </c>
      <c r="Y253" s="98">
        <f t="shared" si="894"/>
        <v>-74.84</v>
      </c>
      <c r="Z253" s="98">
        <f t="shared" si="894"/>
        <v>3204.91</v>
      </c>
      <c r="AA253" s="98">
        <f t="shared" si="894"/>
        <v>67.7</v>
      </c>
      <c r="AB253" s="65">
        <f t="shared" si="711"/>
        <v>3272.6099999999997</v>
      </c>
      <c r="AC253" s="111">
        <f t="shared" si="712"/>
        <v>0</v>
      </c>
      <c r="AD253" s="65">
        <f t="shared" ref="AD253:CB253" si="895">+AD249+AD250+AD251+AD252</f>
        <v>3272.61</v>
      </c>
      <c r="AE253" s="65">
        <f t="shared" si="895"/>
        <v>5</v>
      </c>
      <c r="AF253" s="65">
        <f t="shared" si="895"/>
        <v>13.53</v>
      </c>
      <c r="AG253" s="65">
        <f t="shared" si="895"/>
        <v>818</v>
      </c>
      <c r="AH253" s="65">
        <f t="shared" si="895"/>
        <v>4</v>
      </c>
      <c r="AI253" s="135">
        <f t="shared" si="895"/>
        <v>273</v>
      </c>
      <c r="AJ253" s="65">
        <f t="shared" si="895"/>
        <v>1</v>
      </c>
      <c r="AK253" s="65">
        <f t="shared" si="895"/>
        <v>0</v>
      </c>
      <c r="AL253" s="65">
        <f t="shared" si="895"/>
        <v>0</v>
      </c>
      <c r="AM253" s="65">
        <f t="shared" si="895"/>
        <v>818.16000000000008</v>
      </c>
      <c r="AN253" s="65">
        <f t="shared" si="895"/>
        <v>0</v>
      </c>
      <c r="AO253" s="65">
        <f t="shared" si="895"/>
        <v>0</v>
      </c>
      <c r="AP253" s="65">
        <f t="shared" si="895"/>
        <v>0</v>
      </c>
      <c r="AQ253" s="65">
        <f t="shared" si="895"/>
        <v>1636.16</v>
      </c>
      <c r="AR253" s="65">
        <f t="shared" si="895"/>
        <v>4</v>
      </c>
      <c r="AS253" s="65">
        <f t="shared" si="895"/>
        <v>0</v>
      </c>
      <c r="AT253" s="65">
        <f t="shared" si="895"/>
        <v>0</v>
      </c>
      <c r="AU253" s="65">
        <f t="shared" si="895"/>
        <v>818.16000000000008</v>
      </c>
      <c r="AV253" s="65">
        <f t="shared" si="895"/>
        <v>0</v>
      </c>
      <c r="AW253" s="65">
        <f t="shared" si="895"/>
        <v>0</v>
      </c>
      <c r="AX253" s="65">
        <f t="shared" si="895"/>
        <v>0</v>
      </c>
      <c r="AY253" s="65">
        <f t="shared" si="895"/>
        <v>2727.32</v>
      </c>
      <c r="AZ253" s="65">
        <f t="shared" si="895"/>
        <v>5</v>
      </c>
      <c r="BA253" s="65">
        <f t="shared" si="895"/>
        <v>2732.32</v>
      </c>
      <c r="BB253" s="65">
        <f t="shared" si="895"/>
        <v>2652.77</v>
      </c>
      <c r="BC253" s="65">
        <f t="shared" si="895"/>
        <v>3.71</v>
      </c>
      <c r="BD253" s="65">
        <f t="shared" si="895"/>
        <v>74.549999999999955</v>
      </c>
      <c r="BE253" s="65">
        <f t="shared" si="895"/>
        <v>1.29</v>
      </c>
      <c r="BF253" s="65">
        <f t="shared" si="895"/>
        <v>530.54999999999995</v>
      </c>
      <c r="BG253" s="135">
        <f t="shared" si="895"/>
        <v>0.74</v>
      </c>
      <c r="BH253" s="135">
        <f t="shared" si="895"/>
        <v>227.98999999999998</v>
      </c>
      <c r="BI253" s="135">
        <f t="shared" si="895"/>
        <v>0</v>
      </c>
      <c r="BJ253" s="135">
        <f t="shared" si="895"/>
        <v>0</v>
      </c>
      <c r="BK253" s="135">
        <f t="shared" si="895"/>
        <v>0</v>
      </c>
      <c r="BL253" s="135">
        <f t="shared" si="895"/>
        <v>2955.3100000000004</v>
      </c>
      <c r="BM253" s="135">
        <f t="shared" si="895"/>
        <v>5</v>
      </c>
      <c r="BN253" s="135">
        <f t="shared" si="895"/>
        <v>2960.3100000000004</v>
      </c>
      <c r="BO253" s="135">
        <f t="shared" si="895"/>
        <v>2905.2000000000003</v>
      </c>
      <c r="BP253" s="135">
        <f t="shared" si="895"/>
        <v>3.74</v>
      </c>
      <c r="BQ253" s="65">
        <f t="shared" si="895"/>
        <v>50.109999999999928</v>
      </c>
      <c r="BR253" s="65">
        <f t="shared" si="895"/>
        <v>1.2599999999999998</v>
      </c>
      <c r="BS253" s="65">
        <f t="shared" si="895"/>
        <v>264.11</v>
      </c>
      <c r="BT253" s="65">
        <f t="shared" si="895"/>
        <v>0.34</v>
      </c>
      <c r="BU253" s="65">
        <f t="shared" si="895"/>
        <v>314</v>
      </c>
      <c r="BV253" s="65">
        <f t="shared" si="895"/>
        <v>0</v>
      </c>
      <c r="BW253" s="65">
        <f t="shared" si="895"/>
        <v>175.32</v>
      </c>
      <c r="BX253" s="65">
        <f t="shared" si="895"/>
        <v>0.74</v>
      </c>
      <c r="BY253" s="65">
        <f t="shared" si="895"/>
        <v>0</v>
      </c>
      <c r="BZ253" s="65">
        <f t="shared" si="895"/>
        <v>0</v>
      </c>
      <c r="CA253" s="65">
        <f t="shared" si="895"/>
        <v>3444.63</v>
      </c>
      <c r="CB253" s="65">
        <f t="shared" si="895"/>
        <v>5.74</v>
      </c>
    </row>
    <row r="254" spans="1:80" ht="18" x14ac:dyDescent="0.3">
      <c r="A254" s="13">
        <v>13</v>
      </c>
      <c r="B254" s="13"/>
      <c r="C254" s="14"/>
      <c r="D254" s="15" t="s">
        <v>411</v>
      </c>
      <c r="E254" s="16"/>
      <c r="F254" s="82">
        <v>1865.8600000000001</v>
      </c>
      <c r="G254" s="82">
        <v>460.61000000000007</v>
      </c>
      <c r="H254" s="82">
        <v>1865.8600000000001</v>
      </c>
      <c r="I254" s="17">
        <v>390.61000000000007</v>
      </c>
      <c r="J254" s="87">
        <v>2000</v>
      </c>
      <c r="K254" s="88"/>
      <c r="L254" s="88">
        <v>0.3</v>
      </c>
      <c r="M254" s="88">
        <f t="shared" si="871"/>
        <v>2000.3</v>
      </c>
      <c r="N254" s="88"/>
      <c r="O254" s="88"/>
      <c r="P254" s="88"/>
      <c r="Q254" s="88">
        <f t="shared" ref="Q254:Q255" si="896">N254+O254+P254</f>
        <v>0</v>
      </c>
      <c r="R254" s="88">
        <f t="shared" si="873"/>
        <v>2000.3</v>
      </c>
      <c r="S254" s="88">
        <v>240</v>
      </c>
      <c r="V254" s="17">
        <f t="shared" ref="V254" si="897">ROUND(H254*1.0583,2)</f>
        <v>1974.64</v>
      </c>
      <c r="W254" s="17">
        <f t="shared" ref="W254" si="898">ROUND(I254*1.0327,2)</f>
        <v>403.38</v>
      </c>
      <c r="X254" s="110">
        <f t="shared" si="709"/>
        <v>25.659999999999854</v>
      </c>
      <c r="Y254" s="110">
        <f t="shared" si="710"/>
        <v>-163.38</v>
      </c>
      <c r="Z254" s="110">
        <v>1974.64</v>
      </c>
      <c r="AA254" s="110"/>
      <c r="AB254" s="110">
        <f t="shared" si="711"/>
        <v>1974.64</v>
      </c>
      <c r="AC254" s="111">
        <f t="shared" si="712"/>
        <v>0</v>
      </c>
      <c r="AD254" s="110">
        <f t="shared" ref="AD254" si="899">IF(X254&gt;0,V254,R254)</f>
        <v>1974.64</v>
      </c>
      <c r="AE254" s="110">
        <f t="shared" ref="AE254" si="900">IF(Y254&gt;0,W254,S254)</f>
        <v>240</v>
      </c>
      <c r="AF254" s="110">
        <f t="shared" si="713"/>
        <v>216.53</v>
      </c>
      <c r="AG254" s="110">
        <f t="shared" si="714"/>
        <v>494</v>
      </c>
      <c r="AH254" s="110">
        <f t="shared" si="715"/>
        <v>60</v>
      </c>
      <c r="AI254" s="129">
        <f t="shared" si="716"/>
        <v>165</v>
      </c>
      <c r="AJ254" s="110">
        <f t="shared" si="717"/>
        <v>20</v>
      </c>
      <c r="AL254" s="146">
        <v>100</v>
      </c>
      <c r="AM254" s="110">
        <f t="shared" si="718"/>
        <v>493.66</v>
      </c>
      <c r="AN254" s="110">
        <f>ROUND(AE254*24.35%,2)-8.44</f>
        <v>50</v>
      </c>
      <c r="AQ254" s="110">
        <f t="shared" si="720"/>
        <v>987.66000000000008</v>
      </c>
      <c r="AR254" s="110">
        <f t="shared" si="721"/>
        <v>210</v>
      </c>
      <c r="AU254" s="110">
        <f t="shared" si="807"/>
        <v>493.66</v>
      </c>
      <c r="AV254" s="110">
        <f>ROUND(AE254*25%,2)-60</f>
        <v>0</v>
      </c>
      <c r="AY254" s="110">
        <f t="shared" si="699"/>
        <v>1646.3200000000002</v>
      </c>
      <c r="AZ254" s="110">
        <f t="shared" si="700"/>
        <v>230</v>
      </c>
      <c r="BA254" s="110">
        <f t="shared" si="701"/>
        <v>1876.3200000000002</v>
      </c>
      <c r="BB254" s="142">
        <v>1566.73</v>
      </c>
      <c r="BC254" s="142">
        <v>222.73</v>
      </c>
      <c r="BD254" s="142">
        <f t="shared" si="702"/>
        <v>79.590000000000146</v>
      </c>
      <c r="BE254" s="142">
        <f t="shared" si="703"/>
        <v>7.2700000000000102</v>
      </c>
      <c r="BF254" s="142">
        <f t="shared" si="704"/>
        <v>313.35000000000002</v>
      </c>
      <c r="BG254" s="142">
        <f t="shared" si="705"/>
        <v>44.55</v>
      </c>
      <c r="BH254" s="146">
        <v>117.89</v>
      </c>
      <c r="BI254" s="146">
        <v>14.5</v>
      </c>
      <c r="BJ254" s="146"/>
      <c r="BK254" s="146"/>
      <c r="BL254" s="110">
        <f t="shared" si="736"/>
        <v>1764.2100000000003</v>
      </c>
      <c r="BM254" s="110">
        <f t="shared" si="737"/>
        <v>244.5</v>
      </c>
      <c r="BN254" s="110">
        <f t="shared" si="738"/>
        <v>2008.7100000000003</v>
      </c>
      <c r="BO254" s="110">
        <v>1724.84</v>
      </c>
      <c r="BP254" s="129">
        <v>228.54</v>
      </c>
      <c r="BQ254" s="110">
        <f t="shared" si="739"/>
        <v>39.370000000000346</v>
      </c>
      <c r="BR254" s="110">
        <f t="shared" si="740"/>
        <v>15.960000000000008</v>
      </c>
      <c r="BS254" s="110">
        <f t="shared" si="741"/>
        <v>156.80000000000001</v>
      </c>
      <c r="BT254" s="110">
        <f t="shared" si="742"/>
        <v>20.78</v>
      </c>
      <c r="BU254" s="146">
        <v>122.89</v>
      </c>
      <c r="BV254" s="146">
        <v>14.5</v>
      </c>
      <c r="BW254" s="146"/>
      <c r="BX254" s="146"/>
      <c r="BY254" s="146"/>
      <c r="BZ254" s="146"/>
      <c r="CA254" s="110">
        <f t="shared" si="743"/>
        <v>1887.1000000000004</v>
      </c>
      <c r="CB254" s="110">
        <f t="shared" si="744"/>
        <v>259</v>
      </c>
    </row>
    <row r="255" spans="1:80" ht="18" x14ac:dyDescent="0.3">
      <c r="A255" s="13">
        <v>14</v>
      </c>
      <c r="B255" s="13"/>
      <c r="C255" s="14"/>
      <c r="D255" s="15" t="s">
        <v>412</v>
      </c>
      <c r="E255" s="16"/>
      <c r="F255" s="82">
        <v>0</v>
      </c>
      <c r="G255" s="82">
        <v>0</v>
      </c>
      <c r="H255" s="82">
        <v>0</v>
      </c>
      <c r="I255" s="17">
        <v>0</v>
      </c>
      <c r="J255" s="87">
        <v>0</v>
      </c>
      <c r="K255" s="88">
        <v>0</v>
      </c>
      <c r="L255" s="88">
        <v>0</v>
      </c>
      <c r="M255" s="88">
        <f t="shared" si="871"/>
        <v>0</v>
      </c>
      <c r="N255" s="88">
        <v>0</v>
      </c>
      <c r="O255" s="88">
        <v>0</v>
      </c>
      <c r="P255" s="88"/>
      <c r="Q255" s="88">
        <f t="shared" si="896"/>
        <v>0</v>
      </c>
      <c r="R255" s="88">
        <f t="shared" si="873"/>
        <v>0</v>
      </c>
      <c r="S255" s="88">
        <v>0</v>
      </c>
      <c r="V255" s="17">
        <f t="shared" ref="V255" si="901">ROUND(H255*1.0583,2)</f>
        <v>0</v>
      </c>
      <c r="W255" s="17">
        <f t="shared" ref="W255" si="902">ROUND(I255*1.0327,2)</f>
        <v>0</v>
      </c>
      <c r="X255" s="110">
        <f t="shared" si="709"/>
        <v>0</v>
      </c>
      <c r="Y255" s="110">
        <f t="shared" si="710"/>
        <v>0</v>
      </c>
      <c r="Z255" s="110">
        <v>0</v>
      </c>
      <c r="AA255" s="110"/>
      <c r="AB255" s="110">
        <f t="shared" si="711"/>
        <v>0</v>
      </c>
      <c r="AC255" s="111">
        <f t="shared" si="712"/>
        <v>0</v>
      </c>
      <c r="AD255" s="110">
        <f t="shared" ref="AD255" si="903">IF(X255&gt;0,V255,R255)</f>
        <v>0</v>
      </c>
      <c r="AE255" s="110">
        <f t="shared" ref="AE255" si="904">IF(Y255&gt;0,W255,S255)</f>
        <v>0</v>
      </c>
      <c r="AF255" s="110">
        <f t="shared" si="713"/>
        <v>0</v>
      </c>
      <c r="AG255" s="110">
        <f t="shared" si="714"/>
        <v>0</v>
      </c>
      <c r="AH255" s="110">
        <f t="shared" si="715"/>
        <v>0</v>
      </c>
      <c r="AI255" s="129">
        <f t="shared" si="716"/>
        <v>0</v>
      </c>
      <c r="AJ255" s="110">
        <f t="shared" si="717"/>
        <v>0</v>
      </c>
      <c r="AM255" s="110">
        <f t="shared" si="718"/>
        <v>0</v>
      </c>
      <c r="AN255" s="110">
        <f t="shared" si="719"/>
        <v>0</v>
      </c>
      <c r="AQ255" s="110">
        <f t="shared" si="720"/>
        <v>0</v>
      </c>
      <c r="AR255" s="110">
        <f t="shared" si="721"/>
        <v>0</v>
      </c>
      <c r="AU255" s="110">
        <f t="shared" si="807"/>
        <v>0</v>
      </c>
      <c r="AV255" s="110">
        <f t="shared" si="882"/>
        <v>0</v>
      </c>
      <c r="AY255" s="110">
        <f t="shared" si="699"/>
        <v>0</v>
      </c>
      <c r="AZ255" s="110">
        <f t="shared" si="700"/>
        <v>0</v>
      </c>
      <c r="BA255" s="110">
        <f t="shared" si="701"/>
        <v>0</v>
      </c>
      <c r="BB255" s="142">
        <v>0</v>
      </c>
      <c r="BD255" s="142">
        <f t="shared" si="702"/>
        <v>0</v>
      </c>
      <c r="BE255" s="142">
        <f t="shared" si="703"/>
        <v>0</v>
      </c>
      <c r="BF255" s="142">
        <f t="shared" si="704"/>
        <v>0</v>
      </c>
      <c r="BG255" s="142">
        <f t="shared" si="705"/>
        <v>0</v>
      </c>
      <c r="BH255" s="110">
        <v>0</v>
      </c>
      <c r="BI255" s="110">
        <v>0</v>
      </c>
      <c r="BL255" s="110">
        <f t="shared" si="736"/>
        <v>0</v>
      </c>
      <c r="BM255" s="110">
        <f t="shared" si="737"/>
        <v>0</v>
      </c>
      <c r="BN255" s="110">
        <f t="shared" si="738"/>
        <v>0</v>
      </c>
      <c r="BO255" s="110">
        <v>0</v>
      </c>
      <c r="BP255" s="129"/>
      <c r="BQ255" s="110">
        <f t="shared" si="739"/>
        <v>0</v>
      </c>
      <c r="BR255" s="110">
        <f t="shared" si="740"/>
        <v>0</v>
      </c>
      <c r="BS255" s="110">
        <f t="shared" si="741"/>
        <v>0</v>
      </c>
      <c r="BT255" s="110">
        <f t="shared" si="742"/>
        <v>0</v>
      </c>
      <c r="BU255" s="110">
        <f t="shared" si="760"/>
        <v>0</v>
      </c>
      <c r="BV255" s="110">
        <v>0</v>
      </c>
      <c r="CA255" s="110">
        <f t="shared" si="743"/>
        <v>0</v>
      </c>
      <c r="CB255" s="110">
        <f t="shared" si="744"/>
        <v>0</v>
      </c>
    </row>
    <row r="256" spans="1:80" ht="18" x14ac:dyDescent="0.3">
      <c r="A256" s="23"/>
      <c r="B256" s="23" t="s">
        <v>413</v>
      </c>
      <c r="C256" s="24" t="s">
        <v>13</v>
      </c>
      <c r="D256" s="25" t="s">
        <v>411</v>
      </c>
      <c r="E256" s="26" t="s">
        <v>414</v>
      </c>
      <c r="F256" s="65">
        <v>1865.8600000000001</v>
      </c>
      <c r="G256" s="65">
        <v>460.61000000000007</v>
      </c>
      <c r="H256" s="65">
        <v>1865.8600000000001</v>
      </c>
      <c r="I256" s="65">
        <v>390.61000000000007</v>
      </c>
      <c r="J256" s="98">
        <f t="shared" ref="J256:AA256" si="905">+J254+J255</f>
        <v>2000</v>
      </c>
      <c r="K256" s="98">
        <f t="shared" si="905"/>
        <v>0</v>
      </c>
      <c r="L256" s="98">
        <f t="shared" si="905"/>
        <v>0.3</v>
      </c>
      <c r="M256" s="98">
        <f t="shared" si="905"/>
        <v>2000.3</v>
      </c>
      <c r="N256" s="98">
        <f t="shared" si="905"/>
        <v>0</v>
      </c>
      <c r="O256" s="98">
        <f t="shared" si="905"/>
        <v>0</v>
      </c>
      <c r="P256" s="98">
        <f t="shared" si="905"/>
        <v>0</v>
      </c>
      <c r="Q256" s="98">
        <f t="shared" si="905"/>
        <v>0</v>
      </c>
      <c r="R256" s="98">
        <f t="shared" si="905"/>
        <v>2000.3</v>
      </c>
      <c r="S256" s="98">
        <f t="shared" si="905"/>
        <v>240</v>
      </c>
      <c r="T256" s="98">
        <f t="shared" si="905"/>
        <v>0</v>
      </c>
      <c r="U256" s="98">
        <f t="shared" si="905"/>
        <v>0</v>
      </c>
      <c r="V256" s="98">
        <f t="shared" si="905"/>
        <v>1974.64</v>
      </c>
      <c r="W256" s="98">
        <f t="shared" si="905"/>
        <v>403.38</v>
      </c>
      <c r="X256" s="98">
        <f t="shared" si="905"/>
        <v>25.659999999999854</v>
      </c>
      <c r="Y256" s="98">
        <f t="shared" si="905"/>
        <v>-163.38</v>
      </c>
      <c r="Z256" s="98">
        <f t="shared" si="905"/>
        <v>1974.64</v>
      </c>
      <c r="AA256" s="98">
        <f t="shared" si="905"/>
        <v>0</v>
      </c>
      <c r="AB256" s="65">
        <f t="shared" si="711"/>
        <v>1974.64</v>
      </c>
      <c r="AC256" s="111">
        <f t="shared" si="712"/>
        <v>0</v>
      </c>
      <c r="AD256" s="65">
        <f t="shared" ref="AD256:CB256" si="906">+AD254+AD255</f>
        <v>1974.64</v>
      </c>
      <c r="AE256" s="65">
        <f t="shared" si="906"/>
        <v>240</v>
      </c>
      <c r="AF256" s="65">
        <f t="shared" si="906"/>
        <v>216.53</v>
      </c>
      <c r="AG256" s="65">
        <f t="shared" si="906"/>
        <v>494</v>
      </c>
      <c r="AH256" s="65">
        <f t="shared" si="906"/>
        <v>60</v>
      </c>
      <c r="AI256" s="135">
        <f t="shared" si="906"/>
        <v>165</v>
      </c>
      <c r="AJ256" s="65">
        <f t="shared" si="906"/>
        <v>20</v>
      </c>
      <c r="AK256" s="65">
        <f t="shared" si="906"/>
        <v>0</v>
      </c>
      <c r="AL256" s="65">
        <f t="shared" si="906"/>
        <v>100</v>
      </c>
      <c r="AM256" s="65">
        <f t="shared" si="906"/>
        <v>493.66</v>
      </c>
      <c r="AN256" s="65">
        <f t="shared" si="906"/>
        <v>50</v>
      </c>
      <c r="AO256" s="65">
        <f t="shared" si="906"/>
        <v>0</v>
      </c>
      <c r="AP256" s="65">
        <f t="shared" si="906"/>
        <v>0</v>
      </c>
      <c r="AQ256" s="65">
        <f t="shared" si="906"/>
        <v>987.66000000000008</v>
      </c>
      <c r="AR256" s="65">
        <f t="shared" si="906"/>
        <v>210</v>
      </c>
      <c r="AS256" s="65">
        <f t="shared" si="906"/>
        <v>0</v>
      </c>
      <c r="AT256" s="65">
        <f t="shared" si="906"/>
        <v>0</v>
      </c>
      <c r="AU256" s="65">
        <f t="shared" si="906"/>
        <v>493.66</v>
      </c>
      <c r="AV256" s="65">
        <f t="shared" si="906"/>
        <v>0</v>
      </c>
      <c r="AW256" s="65">
        <f t="shared" si="906"/>
        <v>0</v>
      </c>
      <c r="AX256" s="65">
        <f t="shared" si="906"/>
        <v>0</v>
      </c>
      <c r="AY256" s="65">
        <f t="shared" si="906"/>
        <v>1646.3200000000002</v>
      </c>
      <c r="AZ256" s="65">
        <f t="shared" si="906"/>
        <v>230</v>
      </c>
      <c r="BA256" s="65">
        <f t="shared" si="906"/>
        <v>1876.3200000000002</v>
      </c>
      <c r="BB256" s="65">
        <f t="shared" si="906"/>
        <v>1566.73</v>
      </c>
      <c r="BC256" s="65">
        <f t="shared" si="906"/>
        <v>222.73</v>
      </c>
      <c r="BD256" s="65">
        <f t="shared" si="906"/>
        <v>79.590000000000146</v>
      </c>
      <c r="BE256" s="65">
        <f t="shared" si="906"/>
        <v>7.2700000000000102</v>
      </c>
      <c r="BF256" s="65">
        <f t="shared" si="906"/>
        <v>313.35000000000002</v>
      </c>
      <c r="BG256" s="135">
        <f t="shared" si="906"/>
        <v>44.55</v>
      </c>
      <c r="BH256" s="135">
        <f t="shared" si="906"/>
        <v>117.89</v>
      </c>
      <c r="BI256" s="135">
        <f t="shared" si="906"/>
        <v>14.5</v>
      </c>
      <c r="BJ256" s="135">
        <f t="shared" si="906"/>
        <v>0</v>
      </c>
      <c r="BK256" s="135">
        <f t="shared" si="906"/>
        <v>0</v>
      </c>
      <c r="BL256" s="135">
        <f t="shared" si="906"/>
        <v>1764.2100000000003</v>
      </c>
      <c r="BM256" s="135">
        <f t="shared" si="906"/>
        <v>244.5</v>
      </c>
      <c r="BN256" s="135">
        <f t="shared" si="906"/>
        <v>2008.7100000000003</v>
      </c>
      <c r="BO256" s="135">
        <f t="shared" si="906"/>
        <v>1724.84</v>
      </c>
      <c r="BP256" s="135">
        <f t="shared" si="906"/>
        <v>228.54</v>
      </c>
      <c r="BQ256" s="65">
        <f t="shared" si="906"/>
        <v>39.370000000000346</v>
      </c>
      <c r="BR256" s="65">
        <f t="shared" si="906"/>
        <v>15.960000000000008</v>
      </c>
      <c r="BS256" s="65">
        <f t="shared" si="906"/>
        <v>156.80000000000001</v>
      </c>
      <c r="BT256" s="65">
        <f t="shared" si="906"/>
        <v>20.78</v>
      </c>
      <c r="BU256" s="65">
        <f t="shared" si="906"/>
        <v>122.89</v>
      </c>
      <c r="BV256" s="65">
        <f t="shared" si="906"/>
        <v>14.5</v>
      </c>
      <c r="BW256" s="65">
        <f t="shared" si="906"/>
        <v>0</v>
      </c>
      <c r="BX256" s="65">
        <f t="shared" si="906"/>
        <v>0</v>
      </c>
      <c r="BY256" s="65">
        <f t="shared" si="906"/>
        <v>0</v>
      </c>
      <c r="BZ256" s="65">
        <f t="shared" si="906"/>
        <v>0</v>
      </c>
      <c r="CA256" s="65">
        <f t="shared" si="906"/>
        <v>1887.1000000000004</v>
      </c>
      <c r="CB256" s="65">
        <f t="shared" si="906"/>
        <v>259</v>
      </c>
    </row>
    <row r="257" spans="1:80" ht="18" x14ac:dyDescent="0.3">
      <c r="A257" s="13">
        <v>15</v>
      </c>
      <c r="B257" s="13"/>
      <c r="C257" s="14"/>
      <c r="D257" s="15" t="s">
        <v>415</v>
      </c>
      <c r="E257" s="16"/>
      <c r="F257" s="82">
        <v>1239.5700000000002</v>
      </c>
      <c r="G257" s="82">
        <v>162.1</v>
      </c>
      <c r="H257" s="82">
        <v>1249.5700000000002</v>
      </c>
      <c r="I257" s="17">
        <v>227.1</v>
      </c>
      <c r="J257" s="87">
        <v>1500</v>
      </c>
      <c r="K257" s="88"/>
      <c r="L257" s="88"/>
      <c r="M257" s="88">
        <f t="shared" si="871"/>
        <v>1500</v>
      </c>
      <c r="N257" s="88"/>
      <c r="O257" s="88"/>
      <c r="P257" s="88"/>
      <c r="Q257" s="88">
        <f t="shared" ref="Q257:Q259" si="907">N257+O257+P257</f>
        <v>0</v>
      </c>
      <c r="R257" s="88">
        <f t="shared" si="873"/>
        <v>1500</v>
      </c>
      <c r="S257" s="88">
        <v>300</v>
      </c>
      <c r="V257" s="17">
        <f t="shared" ref="V257" si="908">ROUND(H257*1.0583,2)</f>
        <v>1322.42</v>
      </c>
      <c r="W257" s="17">
        <f t="shared" ref="W257" si="909">ROUND(I257*1.0327,2)</f>
        <v>234.53</v>
      </c>
      <c r="X257" s="110">
        <f t="shared" ref="X257:X309" si="910">R257-V257</f>
        <v>177.57999999999993</v>
      </c>
      <c r="Y257" s="110">
        <f t="shared" ref="Y257:Y309" si="911">S257-W257</f>
        <v>65.47</v>
      </c>
      <c r="Z257" s="110">
        <v>1322.42</v>
      </c>
      <c r="AA257" s="110"/>
      <c r="AB257" s="110">
        <f t="shared" ref="AB257:AB310" si="912">Z257+AA257</f>
        <v>1322.42</v>
      </c>
      <c r="AC257" s="111">
        <f t="shared" ref="AC257:AC310" si="913">AD257-AB257</f>
        <v>0</v>
      </c>
      <c r="AD257" s="110">
        <f t="shared" ref="AD257" si="914">IF(X257&gt;0,V257,R257)</f>
        <v>1322.42</v>
      </c>
      <c r="AE257" s="110">
        <f t="shared" ref="AE257" si="915">IF(Y257&gt;0,W257,S257)</f>
        <v>234.53</v>
      </c>
      <c r="AF257" s="110">
        <f t="shared" ref="AF257:AF309" si="916">ROUND(S257*0.9022,2)</f>
        <v>270.66000000000003</v>
      </c>
      <c r="AG257" s="110">
        <f t="shared" ref="AG257:AG309" si="917">ROUND(AD257/4,0)</f>
        <v>331</v>
      </c>
      <c r="AH257" s="110">
        <f t="shared" ref="AH257:AH309" si="918">ROUND(AE257/4,0)</f>
        <v>59</v>
      </c>
      <c r="AI257" s="129">
        <f t="shared" ref="AI257:AI309" si="919">ROUND(AD257/12,0)</f>
        <v>110</v>
      </c>
      <c r="AJ257" s="110">
        <f t="shared" ref="AJ257:AJ309" si="920">ROUND(AE257/12,0)</f>
        <v>20</v>
      </c>
      <c r="AM257" s="110">
        <f t="shared" ref="AM257:AM309" si="921">ROUND(AD257*25%,2)</f>
        <v>330.61</v>
      </c>
      <c r="AN257" s="110">
        <f t="shared" ref="AN257:AN309" si="922">ROUND(AE257*24.35%,2)</f>
        <v>57.11</v>
      </c>
      <c r="AQ257" s="110">
        <f t="shared" ref="AQ257:AQ309" si="923">+AM257+AK257+AG257+AO257</f>
        <v>661.61</v>
      </c>
      <c r="AR257" s="110">
        <f t="shared" ref="AR257:AR309" si="924">+AN257+AL257+AH257+AP257</f>
        <v>116.11</v>
      </c>
      <c r="AU257" s="110">
        <f t="shared" si="807"/>
        <v>330.61</v>
      </c>
      <c r="AV257" s="118">
        <f t="shared" si="882"/>
        <v>58.63</v>
      </c>
      <c r="AW257" s="118"/>
      <c r="AX257" s="146">
        <v>136.53</v>
      </c>
      <c r="AY257" s="118">
        <f t="shared" ref="AY257:AY309" si="925">+AQ257+AS257+AU257+AW257+AI257</f>
        <v>1102.22</v>
      </c>
      <c r="AZ257" s="110">
        <f t="shared" ref="AZ257:AZ309" si="926">+AR257+AT257+AV257+AX257+AJ257</f>
        <v>331.27</v>
      </c>
      <c r="BA257" s="110">
        <f t="shared" ref="BA257:BA309" si="927">+AY257+AZ257</f>
        <v>1433.49</v>
      </c>
      <c r="BB257" s="142">
        <v>1078.8599999999999</v>
      </c>
      <c r="BC257" s="142">
        <v>316.68</v>
      </c>
      <c r="BD257" s="142">
        <f t="shared" ref="BD257:BD309" si="928">AY257-BB257</f>
        <v>23.360000000000127</v>
      </c>
      <c r="BE257" s="142">
        <f t="shared" ref="BE257:BE309" si="929">AZ257-BC257</f>
        <v>14.589999999999975</v>
      </c>
      <c r="BF257" s="142">
        <f t="shared" ref="BF257:BF309" si="930">ROUND(BB257/10*2,2)</f>
        <v>215.77</v>
      </c>
      <c r="BG257" s="142">
        <f t="shared" ref="BG257:BG309" si="931">ROUND(BC257/10*2,2)</f>
        <v>63.34</v>
      </c>
      <c r="BH257" s="110">
        <v>96.21</v>
      </c>
      <c r="BI257" s="110">
        <v>0</v>
      </c>
      <c r="BL257" s="110">
        <f t="shared" si="736"/>
        <v>1198.43</v>
      </c>
      <c r="BM257" s="110">
        <f t="shared" si="737"/>
        <v>331.27</v>
      </c>
      <c r="BN257" s="110">
        <f t="shared" si="738"/>
        <v>1529.7</v>
      </c>
      <c r="BO257" s="110">
        <v>1180.77</v>
      </c>
      <c r="BP257" s="129">
        <v>320.69</v>
      </c>
      <c r="BQ257" s="110">
        <f t="shared" si="739"/>
        <v>17.660000000000082</v>
      </c>
      <c r="BR257" s="110">
        <f t="shared" si="740"/>
        <v>10.579999999999984</v>
      </c>
      <c r="BS257" s="110">
        <f t="shared" si="741"/>
        <v>107.34</v>
      </c>
      <c r="BT257" s="110">
        <f t="shared" si="742"/>
        <v>29.15</v>
      </c>
      <c r="BU257" s="110">
        <v>89.68</v>
      </c>
      <c r="BV257" s="110">
        <v>0</v>
      </c>
      <c r="BW257" s="110">
        <v>20</v>
      </c>
      <c r="BX257" s="110">
        <v>40</v>
      </c>
      <c r="CA257" s="110">
        <f t="shared" si="743"/>
        <v>1308.1100000000001</v>
      </c>
      <c r="CB257" s="110">
        <f t="shared" si="744"/>
        <v>371.27</v>
      </c>
    </row>
    <row r="258" spans="1:80" ht="18" x14ac:dyDescent="0.3">
      <c r="A258" s="13">
        <v>16</v>
      </c>
      <c r="B258" s="13"/>
      <c r="C258" s="14"/>
      <c r="D258" s="15" t="s">
        <v>416</v>
      </c>
      <c r="E258" s="16"/>
      <c r="F258" s="82">
        <v>0</v>
      </c>
      <c r="G258" s="82">
        <v>0</v>
      </c>
      <c r="H258" s="82">
        <v>0</v>
      </c>
      <c r="I258" s="17">
        <v>0</v>
      </c>
      <c r="J258" s="87"/>
      <c r="K258" s="88"/>
      <c r="L258" s="88"/>
      <c r="M258" s="88">
        <f t="shared" si="871"/>
        <v>0</v>
      </c>
      <c r="N258" s="88"/>
      <c r="O258" s="88"/>
      <c r="P258" s="88"/>
      <c r="Q258" s="88">
        <f t="shared" si="907"/>
        <v>0</v>
      </c>
      <c r="R258" s="88">
        <f t="shared" si="873"/>
        <v>0</v>
      </c>
      <c r="S258" s="88">
        <v>0</v>
      </c>
      <c r="V258" s="17">
        <f t="shared" ref="V258:V259" si="932">ROUND(H258*1.0583,2)</f>
        <v>0</v>
      </c>
      <c r="W258" s="17">
        <f t="shared" ref="W258:W259" si="933">ROUND(I258*1.0327,2)</f>
        <v>0</v>
      </c>
      <c r="X258" s="110">
        <f t="shared" si="910"/>
        <v>0</v>
      </c>
      <c r="Y258" s="110">
        <f t="shared" si="911"/>
        <v>0</v>
      </c>
      <c r="Z258" s="110">
        <v>0</v>
      </c>
      <c r="AA258" s="110"/>
      <c r="AB258" s="110">
        <f t="shared" si="912"/>
        <v>0</v>
      </c>
      <c r="AC258" s="111">
        <f t="shared" si="913"/>
        <v>0</v>
      </c>
      <c r="AD258" s="110">
        <f t="shared" ref="AD258:AD259" si="934">IF(X258&gt;0,V258,R258)</f>
        <v>0</v>
      </c>
      <c r="AE258" s="110">
        <f t="shared" ref="AE258:AE259" si="935">IF(Y258&gt;0,W258,S258)</f>
        <v>0</v>
      </c>
      <c r="AF258" s="110">
        <f t="shared" si="916"/>
        <v>0</v>
      </c>
      <c r="AG258" s="110">
        <f t="shared" si="917"/>
        <v>0</v>
      </c>
      <c r="AH258" s="110">
        <f t="shared" si="918"/>
        <v>0</v>
      </c>
      <c r="AI258" s="129">
        <f t="shared" si="919"/>
        <v>0</v>
      </c>
      <c r="AJ258" s="110">
        <f t="shared" si="920"/>
        <v>0</v>
      </c>
      <c r="AM258" s="110">
        <f t="shared" si="921"/>
        <v>0</v>
      </c>
      <c r="AN258" s="110">
        <f t="shared" si="922"/>
        <v>0</v>
      </c>
      <c r="AQ258" s="110">
        <f t="shared" si="923"/>
        <v>0</v>
      </c>
      <c r="AR258" s="110">
        <f t="shared" si="924"/>
        <v>0</v>
      </c>
      <c r="AU258" s="110">
        <f t="shared" si="807"/>
        <v>0</v>
      </c>
      <c r="AV258" s="110">
        <f t="shared" si="882"/>
        <v>0</v>
      </c>
      <c r="AY258" s="110">
        <f t="shared" si="925"/>
        <v>0</v>
      </c>
      <c r="AZ258" s="110">
        <f t="shared" si="926"/>
        <v>0</v>
      </c>
      <c r="BA258" s="110">
        <f t="shared" si="927"/>
        <v>0</v>
      </c>
      <c r="BB258" s="142">
        <v>0</v>
      </c>
      <c r="BD258" s="142">
        <f t="shared" si="928"/>
        <v>0</v>
      </c>
      <c r="BE258" s="142">
        <f t="shared" si="929"/>
        <v>0</v>
      </c>
      <c r="BF258" s="142">
        <f t="shared" si="930"/>
        <v>0</v>
      </c>
      <c r="BG258" s="142">
        <f t="shared" si="931"/>
        <v>0</v>
      </c>
      <c r="BH258" s="110">
        <v>0</v>
      </c>
      <c r="BI258" s="110">
        <v>0</v>
      </c>
      <c r="BL258" s="110">
        <f t="shared" si="736"/>
        <v>0</v>
      </c>
      <c r="BM258" s="110">
        <f t="shared" si="737"/>
        <v>0</v>
      </c>
      <c r="BN258" s="110">
        <f t="shared" si="738"/>
        <v>0</v>
      </c>
      <c r="BO258" s="110">
        <v>0</v>
      </c>
      <c r="BP258" s="129"/>
      <c r="BQ258" s="110">
        <f t="shared" si="739"/>
        <v>0</v>
      </c>
      <c r="BR258" s="110">
        <f t="shared" si="740"/>
        <v>0</v>
      </c>
      <c r="BS258" s="110">
        <f t="shared" si="741"/>
        <v>0</v>
      </c>
      <c r="BT258" s="110">
        <f t="shared" si="742"/>
        <v>0</v>
      </c>
      <c r="BU258" s="110">
        <f t="shared" si="760"/>
        <v>0</v>
      </c>
      <c r="BV258" s="110">
        <v>0</v>
      </c>
      <c r="CA258" s="110">
        <f t="shared" si="743"/>
        <v>0</v>
      </c>
      <c r="CB258" s="110">
        <f t="shared" si="744"/>
        <v>0</v>
      </c>
    </row>
    <row r="259" spans="1:80" ht="18" x14ac:dyDescent="0.3">
      <c r="A259" s="13">
        <v>17</v>
      </c>
      <c r="B259" s="13"/>
      <c r="C259" s="14"/>
      <c r="D259" s="15" t="s">
        <v>417</v>
      </c>
      <c r="E259" s="16"/>
      <c r="F259" s="82">
        <v>0</v>
      </c>
      <c r="G259" s="82">
        <v>0</v>
      </c>
      <c r="H259" s="82">
        <v>0</v>
      </c>
      <c r="I259" s="17">
        <v>0</v>
      </c>
      <c r="J259" s="87"/>
      <c r="K259" s="88"/>
      <c r="L259" s="88"/>
      <c r="M259" s="88">
        <f t="shared" si="871"/>
        <v>0</v>
      </c>
      <c r="N259" s="88"/>
      <c r="O259" s="88"/>
      <c r="P259" s="88"/>
      <c r="Q259" s="88">
        <f t="shared" si="907"/>
        <v>0</v>
      </c>
      <c r="R259" s="88">
        <f t="shared" si="873"/>
        <v>0</v>
      </c>
      <c r="S259" s="88">
        <v>0</v>
      </c>
      <c r="V259" s="17">
        <f t="shared" si="932"/>
        <v>0</v>
      </c>
      <c r="W259" s="17">
        <f t="shared" si="933"/>
        <v>0</v>
      </c>
      <c r="X259" s="110">
        <f t="shared" si="910"/>
        <v>0</v>
      </c>
      <c r="Y259" s="110">
        <f t="shared" si="911"/>
        <v>0</v>
      </c>
      <c r="Z259" s="110">
        <v>0</v>
      </c>
      <c r="AA259" s="110"/>
      <c r="AB259" s="110">
        <f t="shared" si="912"/>
        <v>0</v>
      </c>
      <c r="AC259" s="111">
        <f t="shared" si="913"/>
        <v>0</v>
      </c>
      <c r="AD259" s="110">
        <f t="shared" si="934"/>
        <v>0</v>
      </c>
      <c r="AE259" s="110">
        <f t="shared" si="935"/>
        <v>0</v>
      </c>
      <c r="AF259" s="110">
        <f t="shared" si="916"/>
        <v>0</v>
      </c>
      <c r="AG259" s="110">
        <f t="shared" si="917"/>
        <v>0</v>
      </c>
      <c r="AH259" s="110">
        <f t="shared" si="918"/>
        <v>0</v>
      </c>
      <c r="AI259" s="129">
        <f t="shared" si="919"/>
        <v>0</v>
      </c>
      <c r="AJ259" s="110">
        <f t="shared" si="920"/>
        <v>0</v>
      </c>
      <c r="AM259" s="110">
        <f t="shared" si="921"/>
        <v>0</v>
      </c>
      <c r="AN259" s="110">
        <f t="shared" si="922"/>
        <v>0</v>
      </c>
      <c r="AQ259" s="110">
        <f t="shared" si="923"/>
        <v>0</v>
      </c>
      <c r="AR259" s="110">
        <f t="shared" si="924"/>
        <v>0</v>
      </c>
      <c r="AU259" s="110">
        <f t="shared" si="807"/>
        <v>0</v>
      </c>
      <c r="AV259" s="110">
        <f t="shared" si="882"/>
        <v>0</v>
      </c>
      <c r="AY259" s="110">
        <f t="shared" si="925"/>
        <v>0</v>
      </c>
      <c r="AZ259" s="110">
        <f t="shared" si="926"/>
        <v>0</v>
      </c>
      <c r="BA259" s="110">
        <f t="shared" si="927"/>
        <v>0</v>
      </c>
      <c r="BB259" s="142">
        <v>0</v>
      </c>
      <c r="BD259" s="142">
        <f t="shared" si="928"/>
        <v>0</v>
      </c>
      <c r="BE259" s="142">
        <f t="shared" si="929"/>
        <v>0</v>
      </c>
      <c r="BF259" s="142">
        <f t="shared" si="930"/>
        <v>0</v>
      </c>
      <c r="BG259" s="142">
        <f t="shared" si="931"/>
        <v>0</v>
      </c>
      <c r="BH259" s="110">
        <v>0</v>
      </c>
      <c r="BI259" s="110">
        <v>0</v>
      </c>
      <c r="BL259" s="110">
        <f t="shared" si="736"/>
        <v>0</v>
      </c>
      <c r="BM259" s="110">
        <f t="shared" si="737"/>
        <v>0</v>
      </c>
      <c r="BN259" s="110">
        <f t="shared" si="738"/>
        <v>0</v>
      </c>
      <c r="BO259" s="110">
        <v>0</v>
      </c>
      <c r="BP259" s="129"/>
      <c r="BQ259" s="110">
        <f t="shared" si="739"/>
        <v>0</v>
      </c>
      <c r="BR259" s="110">
        <f t="shared" si="740"/>
        <v>0</v>
      </c>
      <c r="BS259" s="110">
        <f t="shared" si="741"/>
        <v>0</v>
      </c>
      <c r="BT259" s="110">
        <f t="shared" si="742"/>
        <v>0</v>
      </c>
      <c r="BU259" s="110">
        <f t="shared" si="760"/>
        <v>0</v>
      </c>
      <c r="BV259" s="110">
        <v>0</v>
      </c>
      <c r="CA259" s="110">
        <f t="shared" si="743"/>
        <v>0</v>
      </c>
      <c r="CB259" s="110">
        <f t="shared" si="744"/>
        <v>0</v>
      </c>
    </row>
    <row r="260" spans="1:80" ht="18" x14ac:dyDescent="0.3">
      <c r="A260" s="18"/>
      <c r="B260" s="18" t="s">
        <v>418</v>
      </c>
      <c r="C260" s="19" t="s">
        <v>419</v>
      </c>
      <c r="D260" s="20" t="s">
        <v>415</v>
      </c>
      <c r="E260" s="21" t="s">
        <v>420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9">
        <f t="shared" ref="J260:AA260" si="936">+J257+J258+J259</f>
        <v>1500</v>
      </c>
      <c r="K260" s="89">
        <f t="shared" si="936"/>
        <v>0</v>
      </c>
      <c r="L260" s="89">
        <f t="shared" si="936"/>
        <v>0</v>
      </c>
      <c r="M260" s="89">
        <f t="shared" si="936"/>
        <v>1500</v>
      </c>
      <c r="N260" s="89">
        <f t="shared" si="936"/>
        <v>0</v>
      </c>
      <c r="O260" s="89">
        <f t="shared" si="936"/>
        <v>0</v>
      </c>
      <c r="P260" s="89">
        <f t="shared" si="936"/>
        <v>0</v>
      </c>
      <c r="Q260" s="89">
        <f t="shared" si="936"/>
        <v>0</v>
      </c>
      <c r="R260" s="89">
        <f t="shared" si="936"/>
        <v>1500</v>
      </c>
      <c r="S260" s="89">
        <f t="shared" si="936"/>
        <v>300</v>
      </c>
      <c r="T260" s="89">
        <f t="shared" si="936"/>
        <v>0</v>
      </c>
      <c r="U260" s="89">
        <f t="shared" si="936"/>
        <v>0</v>
      </c>
      <c r="V260" s="89">
        <f t="shared" si="936"/>
        <v>1322.42</v>
      </c>
      <c r="W260" s="89">
        <f t="shared" si="936"/>
        <v>234.53</v>
      </c>
      <c r="X260" s="89">
        <f t="shared" si="936"/>
        <v>177.57999999999993</v>
      </c>
      <c r="Y260" s="89">
        <f t="shared" si="936"/>
        <v>65.47</v>
      </c>
      <c r="Z260" s="89">
        <f t="shared" si="936"/>
        <v>1322.42</v>
      </c>
      <c r="AA260" s="89">
        <f t="shared" si="936"/>
        <v>0</v>
      </c>
      <c r="AB260" s="22">
        <f t="shared" si="912"/>
        <v>1322.42</v>
      </c>
      <c r="AC260" s="111">
        <f t="shared" si="913"/>
        <v>0</v>
      </c>
      <c r="AD260" s="22">
        <f t="shared" ref="AD260:CB260" si="937">+AD257+AD258+AD259</f>
        <v>1322.42</v>
      </c>
      <c r="AE260" s="22">
        <f t="shared" si="937"/>
        <v>234.53</v>
      </c>
      <c r="AF260" s="22">
        <f t="shared" si="937"/>
        <v>270.66000000000003</v>
      </c>
      <c r="AG260" s="22">
        <f t="shared" si="937"/>
        <v>331</v>
      </c>
      <c r="AH260" s="22">
        <f t="shared" si="937"/>
        <v>59</v>
      </c>
      <c r="AI260" s="120">
        <f t="shared" si="937"/>
        <v>110</v>
      </c>
      <c r="AJ260" s="22">
        <f t="shared" si="937"/>
        <v>20</v>
      </c>
      <c r="AK260" s="22">
        <f t="shared" si="937"/>
        <v>0</v>
      </c>
      <c r="AL260" s="22">
        <f t="shared" si="937"/>
        <v>0</v>
      </c>
      <c r="AM260" s="22">
        <f t="shared" si="937"/>
        <v>330.61</v>
      </c>
      <c r="AN260" s="22">
        <f t="shared" si="937"/>
        <v>57.11</v>
      </c>
      <c r="AO260" s="22">
        <f t="shared" si="937"/>
        <v>0</v>
      </c>
      <c r="AP260" s="22">
        <f t="shared" si="937"/>
        <v>0</v>
      </c>
      <c r="AQ260" s="22">
        <f t="shared" si="937"/>
        <v>661.61</v>
      </c>
      <c r="AR260" s="22">
        <f t="shared" si="937"/>
        <v>116.11</v>
      </c>
      <c r="AS260" s="22">
        <f t="shared" si="937"/>
        <v>0</v>
      </c>
      <c r="AT260" s="22">
        <f t="shared" si="937"/>
        <v>0</v>
      </c>
      <c r="AU260" s="22">
        <f t="shared" si="937"/>
        <v>330.61</v>
      </c>
      <c r="AV260" s="22">
        <f t="shared" si="937"/>
        <v>58.63</v>
      </c>
      <c r="AW260" s="22">
        <f t="shared" si="937"/>
        <v>0</v>
      </c>
      <c r="AX260" s="22">
        <f t="shared" si="937"/>
        <v>136.53</v>
      </c>
      <c r="AY260" s="22">
        <f t="shared" si="937"/>
        <v>1102.22</v>
      </c>
      <c r="AZ260" s="22">
        <f t="shared" si="937"/>
        <v>331.27</v>
      </c>
      <c r="BA260" s="22">
        <f t="shared" si="937"/>
        <v>1433.49</v>
      </c>
      <c r="BB260" s="22">
        <f t="shared" si="937"/>
        <v>1078.8599999999999</v>
      </c>
      <c r="BC260" s="22">
        <f t="shared" si="937"/>
        <v>316.68</v>
      </c>
      <c r="BD260" s="22">
        <f t="shared" si="937"/>
        <v>23.360000000000127</v>
      </c>
      <c r="BE260" s="22">
        <f t="shared" si="937"/>
        <v>14.589999999999975</v>
      </c>
      <c r="BF260" s="22">
        <f t="shared" si="937"/>
        <v>215.77</v>
      </c>
      <c r="BG260" s="120">
        <f t="shared" si="937"/>
        <v>63.34</v>
      </c>
      <c r="BH260" s="120">
        <f t="shared" si="937"/>
        <v>96.21</v>
      </c>
      <c r="BI260" s="120">
        <f t="shared" si="937"/>
        <v>0</v>
      </c>
      <c r="BJ260" s="120">
        <f t="shared" si="937"/>
        <v>0</v>
      </c>
      <c r="BK260" s="120">
        <f t="shared" si="937"/>
        <v>0</v>
      </c>
      <c r="BL260" s="120">
        <f t="shared" si="937"/>
        <v>1198.43</v>
      </c>
      <c r="BM260" s="120">
        <f t="shared" si="937"/>
        <v>331.27</v>
      </c>
      <c r="BN260" s="120">
        <f t="shared" si="937"/>
        <v>1529.7</v>
      </c>
      <c r="BO260" s="120">
        <f t="shared" si="937"/>
        <v>1180.77</v>
      </c>
      <c r="BP260" s="120">
        <f t="shared" si="937"/>
        <v>320.69</v>
      </c>
      <c r="BQ260" s="22">
        <f t="shared" si="937"/>
        <v>17.660000000000082</v>
      </c>
      <c r="BR260" s="22">
        <f t="shared" si="937"/>
        <v>10.579999999999984</v>
      </c>
      <c r="BS260" s="22">
        <f t="shared" si="937"/>
        <v>107.34</v>
      </c>
      <c r="BT260" s="22">
        <f t="shared" si="937"/>
        <v>29.15</v>
      </c>
      <c r="BU260" s="22">
        <f t="shared" si="937"/>
        <v>89.68</v>
      </c>
      <c r="BV260" s="22">
        <f t="shared" si="937"/>
        <v>0</v>
      </c>
      <c r="BW260" s="22">
        <f t="shared" si="937"/>
        <v>20</v>
      </c>
      <c r="BX260" s="22">
        <f t="shared" si="937"/>
        <v>40</v>
      </c>
      <c r="BY260" s="22">
        <f t="shared" si="937"/>
        <v>0</v>
      </c>
      <c r="BZ260" s="22">
        <f t="shared" si="937"/>
        <v>0</v>
      </c>
      <c r="CA260" s="22">
        <f t="shared" si="937"/>
        <v>1308.1100000000001</v>
      </c>
      <c r="CB260" s="22">
        <f t="shared" si="937"/>
        <v>371.27</v>
      </c>
    </row>
    <row r="261" spans="1:80" ht="18" x14ac:dyDescent="0.3">
      <c r="A261" s="18">
        <v>18</v>
      </c>
      <c r="B261" s="18" t="s">
        <v>421</v>
      </c>
      <c r="C261" s="19" t="s">
        <v>18</v>
      </c>
      <c r="D261" s="20" t="s">
        <v>422</v>
      </c>
      <c r="E261" s="21" t="s">
        <v>423</v>
      </c>
      <c r="F261" s="82">
        <v>1375.87</v>
      </c>
      <c r="G261" s="82">
        <v>268.45</v>
      </c>
      <c r="H261" s="82">
        <v>1375.87</v>
      </c>
      <c r="I261" s="22">
        <v>268.45</v>
      </c>
      <c r="J261" s="89">
        <v>1579.6</v>
      </c>
      <c r="K261" s="88"/>
      <c r="L261" s="88"/>
      <c r="M261" s="89">
        <f t="shared" ref="M261:M266" si="938">+L261+K261+J261</f>
        <v>1579.6</v>
      </c>
      <c r="N261" s="88"/>
      <c r="O261" s="88"/>
      <c r="P261" s="88"/>
      <c r="Q261" s="89">
        <f t="shared" ref="Q261" si="939">+P261+O261+N261</f>
        <v>0</v>
      </c>
      <c r="R261" s="89">
        <f t="shared" ref="R261:R272" si="940">+Q261+M261</f>
        <v>1579.6</v>
      </c>
      <c r="S261" s="88">
        <v>120</v>
      </c>
      <c r="V261" s="22">
        <f t="shared" ref="V261" si="941">ROUND(H261*1.0583,2)</f>
        <v>1456.08</v>
      </c>
      <c r="W261" s="22">
        <f t="shared" ref="W261" si="942">ROUND(I261*1.0327,2)</f>
        <v>277.23</v>
      </c>
      <c r="X261" s="22">
        <f t="shared" si="910"/>
        <v>123.51999999999998</v>
      </c>
      <c r="Y261" s="22">
        <f t="shared" si="911"/>
        <v>-157.23000000000002</v>
      </c>
      <c r="Z261" s="22">
        <v>1456.08</v>
      </c>
      <c r="AA261" s="22"/>
      <c r="AB261" s="22">
        <f t="shared" si="912"/>
        <v>1456.08</v>
      </c>
      <c r="AC261" s="111">
        <f t="shared" si="913"/>
        <v>0</v>
      </c>
      <c r="AD261" s="22">
        <f t="shared" ref="AD261" si="943">IF(X261&gt;0,V261,R261)</f>
        <v>1456.08</v>
      </c>
      <c r="AE261" s="22">
        <f t="shared" ref="AE261" si="944">IF(Y261&gt;0,W261,S261)</f>
        <v>120</v>
      </c>
      <c r="AF261" s="22">
        <f t="shared" si="916"/>
        <v>108.26</v>
      </c>
      <c r="AG261" s="110">
        <f t="shared" si="917"/>
        <v>364</v>
      </c>
      <c r="AH261" s="110">
        <f t="shared" si="918"/>
        <v>30</v>
      </c>
      <c r="AI261" s="129">
        <f t="shared" si="919"/>
        <v>121</v>
      </c>
      <c r="AJ261" s="110">
        <f t="shared" si="920"/>
        <v>10</v>
      </c>
      <c r="AM261" s="110">
        <f t="shared" si="921"/>
        <v>364.02</v>
      </c>
      <c r="AN261" s="110">
        <f t="shared" si="922"/>
        <v>29.22</v>
      </c>
      <c r="AQ261" s="110">
        <f t="shared" si="923"/>
        <v>728.02</v>
      </c>
      <c r="AR261" s="110">
        <f t="shared" si="924"/>
        <v>59.22</v>
      </c>
      <c r="AU261" s="110">
        <f t="shared" si="807"/>
        <v>364.02</v>
      </c>
      <c r="AV261" s="110">
        <f t="shared" si="882"/>
        <v>30</v>
      </c>
      <c r="AY261" s="110">
        <f t="shared" si="925"/>
        <v>1213.04</v>
      </c>
      <c r="AZ261" s="110">
        <f t="shared" si="926"/>
        <v>99.22</v>
      </c>
      <c r="BA261" s="110">
        <f t="shared" si="927"/>
        <v>1312.26</v>
      </c>
      <c r="BB261" s="142">
        <v>1135.1300000000001</v>
      </c>
      <c r="BC261" s="142">
        <v>81.540000000000006</v>
      </c>
      <c r="BD261" s="142">
        <f t="shared" si="928"/>
        <v>77.909999999999854</v>
      </c>
      <c r="BE261" s="142">
        <f t="shared" si="929"/>
        <v>17.679999999999993</v>
      </c>
      <c r="BF261" s="142">
        <f t="shared" si="930"/>
        <v>227.03</v>
      </c>
      <c r="BG261" s="142">
        <f t="shared" si="931"/>
        <v>16.309999999999999</v>
      </c>
      <c r="BH261" s="110">
        <v>74.56</v>
      </c>
      <c r="BI261" s="110">
        <v>0</v>
      </c>
      <c r="BL261" s="110">
        <f t="shared" ref="BL261:BL306" si="945">+BH261+AY261+BJ261</f>
        <v>1287.5999999999999</v>
      </c>
      <c r="BM261" s="110">
        <f t="shared" si="737"/>
        <v>99.22</v>
      </c>
      <c r="BN261" s="110">
        <f t="shared" si="738"/>
        <v>1386.82</v>
      </c>
      <c r="BO261" s="110">
        <v>1256.94</v>
      </c>
      <c r="BP261" s="129">
        <v>83.92</v>
      </c>
      <c r="BQ261" s="110">
        <f t="shared" si="739"/>
        <v>30.659999999999854</v>
      </c>
      <c r="BR261" s="110">
        <f t="shared" si="740"/>
        <v>15.299999999999997</v>
      </c>
      <c r="BS261" s="110">
        <f t="shared" si="741"/>
        <v>114.27</v>
      </c>
      <c r="BT261" s="110">
        <f t="shared" si="742"/>
        <v>7.63</v>
      </c>
      <c r="BU261" s="110">
        <v>83.61</v>
      </c>
      <c r="BV261" s="110">
        <v>0</v>
      </c>
      <c r="BW261" s="111">
        <v>18.79</v>
      </c>
      <c r="BX261" s="110">
        <f>16+0.28</f>
        <v>16.28</v>
      </c>
      <c r="CA261" s="110">
        <f t="shared" si="743"/>
        <v>1389.9999999999998</v>
      </c>
      <c r="CB261" s="110">
        <f t="shared" si="744"/>
        <v>115.5</v>
      </c>
    </row>
    <row r="262" spans="1:80" ht="36" x14ac:dyDescent="0.3">
      <c r="A262" s="46"/>
      <c r="B262" s="46"/>
      <c r="C262" s="47"/>
      <c r="D262" s="48" t="s">
        <v>424</v>
      </c>
      <c r="E262" s="49" t="s">
        <v>425</v>
      </c>
      <c r="F262" s="66">
        <v>13093.32</v>
      </c>
      <c r="G262" s="66">
        <v>3186.75</v>
      </c>
      <c r="H262" s="66">
        <v>13128.09</v>
      </c>
      <c r="I262" s="66">
        <v>3156.9800000000005</v>
      </c>
      <c r="J262" s="99">
        <f t="shared" ref="J262:AA262" si="946">+J261+J260+J256+J253+J248</f>
        <v>14884.23</v>
      </c>
      <c r="K262" s="99">
        <f t="shared" si="946"/>
        <v>0</v>
      </c>
      <c r="L262" s="99">
        <f t="shared" si="946"/>
        <v>0.3</v>
      </c>
      <c r="M262" s="99">
        <f t="shared" si="946"/>
        <v>14884.529999999999</v>
      </c>
      <c r="N262" s="99">
        <f t="shared" si="946"/>
        <v>279.44</v>
      </c>
      <c r="O262" s="99">
        <f t="shared" si="946"/>
        <v>0</v>
      </c>
      <c r="P262" s="99">
        <f t="shared" si="946"/>
        <v>0</v>
      </c>
      <c r="Q262" s="99">
        <f t="shared" si="946"/>
        <v>279.44</v>
      </c>
      <c r="R262" s="99">
        <f t="shared" si="946"/>
        <v>15163.969999999998</v>
      </c>
      <c r="S262" s="99">
        <f t="shared" si="946"/>
        <v>3175</v>
      </c>
      <c r="T262" s="99">
        <f t="shared" si="946"/>
        <v>0</v>
      </c>
      <c r="U262" s="99">
        <f t="shared" si="946"/>
        <v>0</v>
      </c>
      <c r="V262" s="99">
        <f t="shared" si="946"/>
        <v>13893.46</v>
      </c>
      <c r="W262" s="99">
        <f t="shared" si="946"/>
        <v>3260.21</v>
      </c>
      <c r="X262" s="99">
        <f t="shared" si="946"/>
        <v>1270.5099999999998</v>
      </c>
      <c r="Y262" s="99">
        <f t="shared" si="946"/>
        <v>-85.210000000000036</v>
      </c>
      <c r="Z262" s="99">
        <f t="shared" si="946"/>
        <v>13638.880000000001</v>
      </c>
      <c r="AA262" s="99">
        <f t="shared" si="946"/>
        <v>222.7</v>
      </c>
      <c r="AB262" s="66">
        <f t="shared" si="912"/>
        <v>13861.580000000002</v>
      </c>
      <c r="AC262" s="111">
        <f t="shared" si="913"/>
        <v>0</v>
      </c>
      <c r="AD262" s="66">
        <f t="shared" ref="AD262:CB262" si="947">+AD261+AD260+AD256+AD253+AD248</f>
        <v>13861.58</v>
      </c>
      <c r="AE262" s="66">
        <f t="shared" si="947"/>
        <v>2854.76</v>
      </c>
      <c r="AF262" s="66">
        <f t="shared" si="947"/>
        <v>2864.48</v>
      </c>
      <c r="AG262" s="66">
        <f t="shared" si="947"/>
        <v>3465</v>
      </c>
      <c r="AH262" s="66">
        <f t="shared" si="947"/>
        <v>717</v>
      </c>
      <c r="AI262" s="132">
        <f t="shared" si="947"/>
        <v>1155</v>
      </c>
      <c r="AJ262" s="132">
        <f t="shared" si="947"/>
        <v>239</v>
      </c>
      <c r="AK262" s="132">
        <f t="shared" si="947"/>
        <v>0</v>
      </c>
      <c r="AL262" s="132">
        <f t="shared" si="947"/>
        <v>100</v>
      </c>
      <c r="AM262" s="132">
        <f t="shared" si="947"/>
        <v>3465.4100000000003</v>
      </c>
      <c r="AN262" s="132">
        <f t="shared" si="947"/>
        <v>685.48</v>
      </c>
      <c r="AO262" s="132">
        <f t="shared" si="947"/>
        <v>0</v>
      </c>
      <c r="AP262" s="132">
        <f t="shared" si="947"/>
        <v>0</v>
      </c>
      <c r="AQ262" s="132">
        <f t="shared" si="947"/>
        <v>6930.41</v>
      </c>
      <c r="AR262" s="132">
        <f t="shared" si="947"/>
        <v>1502.48</v>
      </c>
      <c r="AS262" s="132">
        <f t="shared" si="947"/>
        <v>0</v>
      </c>
      <c r="AT262" s="132">
        <f t="shared" si="947"/>
        <v>0</v>
      </c>
      <c r="AU262" s="132">
        <f t="shared" si="947"/>
        <v>3465.4100000000003</v>
      </c>
      <c r="AV262" s="132">
        <f t="shared" si="947"/>
        <v>652.43999999999994</v>
      </c>
      <c r="AW262" s="132">
        <f t="shared" si="947"/>
        <v>0</v>
      </c>
      <c r="AX262" s="132">
        <f t="shared" si="947"/>
        <v>643.03</v>
      </c>
      <c r="AY262" s="132">
        <f t="shared" si="947"/>
        <v>11550.82</v>
      </c>
      <c r="AZ262" s="132">
        <f t="shared" si="947"/>
        <v>3036.95</v>
      </c>
      <c r="BA262" s="132">
        <f t="shared" si="947"/>
        <v>14587.77</v>
      </c>
      <c r="BB262" s="132">
        <f t="shared" si="947"/>
        <v>11324.33</v>
      </c>
      <c r="BC262" s="132">
        <f t="shared" si="947"/>
        <v>2921.1000000000004</v>
      </c>
      <c r="BD262" s="132">
        <f t="shared" si="947"/>
        <v>226.49000000000012</v>
      </c>
      <c r="BE262" s="132">
        <f t="shared" si="947"/>
        <v>115.84999999999997</v>
      </c>
      <c r="BF262" s="132">
        <f t="shared" si="947"/>
        <v>2264.88</v>
      </c>
      <c r="BG262" s="132">
        <f t="shared" si="947"/>
        <v>584.23</v>
      </c>
      <c r="BH262" s="132">
        <f t="shared" si="947"/>
        <v>1008.92</v>
      </c>
      <c r="BI262" s="132">
        <f t="shared" si="947"/>
        <v>164.5</v>
      </c>
      <c r="BJ262" s="132">
        <f t="shared" si="947"/>
        <v>0</v>
      </c>
      <c r="BK262" s="132">
        <f t="shared" si="947"/>
        <v>150</v>
      </c>
      <c r="BL262" s="132">
        <f t="shared" si="947"/>
        <v>12559.740000000002</v>
      </c>
      <c r="BM262" s="132">
        <f t="shared" si="947"/>
        <v>3351.45</v>
      </c>
      <c r="BN262" s="132">
        <f t="shared" si="947"/>
        <v>15911.190000000002</v>
      </c>
      <c r="BO262" s="132">
        <f t="shared" si="947"/>
        <v>12191.48</v>
      </c>
      <c r="BP262" s="132">
        <f t="shared" si="947"/>
        <v>3233.2799999999997</v>
      </c>
      <c r="BQ262" s="66">
        <f t="shared" si="947"/>
        <v>368.26000000000033</v>
      </c>
      <c r="BR262" s="66">
        <f t="shared" si="947"/>
        <v>118.17000000000016</v>
      </c>
      <c r="BS262" s="66">
        <f t="shared" si="947"/>
        <v>1108.31</v>
      </c>
      <c r="BT262" s="66">
        <f t="shared" si="947"/>
        <v>293.94</v>
      </c>
      <c r="BU262" s="66">
        <f t="shared" si="947"/>
        <v>845.51</v>
      </c>
      <c r="BV262" s="66">
        <f t="shared" si="947"/>
        <v>214.5</v>
      </c>
      <c r="BW262" s="66">
        <f t="shared" si="947"/>
        <v>629.66</v>
      </c>
      <c r="BX262" s="66">
        <f t="shared" si="947"/>
        <v>126.68</v>
      </c>
      <c r="BY262" s="66">
        <f t="shared" si="947"/>
        <v>0</v>
      </c>
      <c r="BZ262" s="66">
        <f t="shared" si="947"/>
        <v>0</v>
      </c>
      <c r="CA262" s="66">
        <f t="shared" si="947"/>
        <v>14034.91</v>
      </c>
      <c r="CB262" s="66">
        <f t="shared" si="947"/>
        <v>3692.63</v>
      </c>
    </row>
    <row r="263" spans="1:80" ht="18" x14ac:dyDescent="0.3">
      <c r="A263" s="18">
        <v>1</v>
      </c>
      <c r="B263" s="18" t="s">
        <v>426</v>
      </c>
      <c r="C263" s="19" t="s">
        <v>40</v>
      </c>
      <c r="D263" s="20" t="s">
        <v>427</v>
      </c>
      <c r="E263" s="21" t="s">
        <v>428</v>
      </c>
      <c r="F263" s="82">
        <v>2829</v>
      </c>
      <c r="G263" s="82">
        <v>714.89999999999986</v>
      </c>
      <c r="H263" s="82">
        <v>2829</v>
      </c>
      <c r="I263" s="22">
        <v>714.89999999999986</v>
      </c>
      <c r="J263" s="89">
        <v>3220</v>
      </c>
      <c r="K263" s="89">
        <v>0</v>
      </c>
      <c r="L263" s="89">
        <v>0</v>
      </c>
      <c r="M263" s="89">
        <f t="shared" si="938"/>
        <v>3220</v>
      </c>
      <c r="N263" s="89">
        <v>0</v>
      </c>
      <c r="O263" s="89">
        <v>0</v>
      </c>
      <c r="P263" s="89">
        <v>0</v>
      </c>
      <c r="Q263" s="89">
        <f t="shared" ref="Q263:Q264" si="948">+P263+O263+N263</f>
        <v>0</v>
      </c>
      <c r="R263" s="89">
        <f t="shared" si="940"/>
        <v>3220</v>
      </c>
      <c r="S263" s="89">
        <v>500.33</v>
      </c>
      <c r="V263" s="22">
        <f t="shared" ref="V263:V264" si="949">ROUND(H263*1.0583,2)</f>
        <v>2993.93</v>
      </c>
      <c r="W263" s="22">
        <f t="shared" ref="W263:W264" si="950">ROUND(I263*1.0327,2)</f>
        <v>738.28</v>
      </c>
      <c r="X263" s="22">
        <f t="shared" si="910"/>
        <v>226.07000000000016</v>
      </c>
      <c r="Y263" s="22">
        <f t="shared" si="911"/>
        <v>-237.95</v>
      </c>
      <c r="Z263" s="22">
        <v>2993.93</v>
      </c>
      <c r="AA263" s="22"/>
      <c r="AB263" s="22">
        <f t="shared" si="912"/>
        <v>2993.93</v>
      </c>
      <c r="AC263" s="111">
        <f t="shared" si="913"/>
        <v>0</v>
      </c>
      <c r="AD263" s="22">
        <f t="shared" ref="AD263:AD264" si="951">IF(X263&gt;0,V263,R263)</f>
        <v>2993.93</v>
      </c>
      <c r="AE263" s="121">
        <f t="shared" ref="AE263" si="952">IF(Y263&gt;0,W263,S263)</f>
        <v>500.33</v>
      </c>
      <c r="AF263" s="22">
        <f t="shared" si="916"/>
        <v>451.4</v>
      </c>
      <c r="AG263" s="110">
        <f t="shared" si="917"/>
        <v>748</v>
      </c>
      <c r="AH263" s="110">
        <f t="shared" si="918"/>
        <v>125</v>
      </c>
      <c r="AI263" s="129">
        <f t="shared" si="919"/>
        <v>249</v>
      </c>
      <c r="AJ263" s="110">
        <f t="shared" si="920"/>
        <v>42</v>
      </c>
      <c r="AL263" s="146">
        <v>170</v>
      </c>
      <c r="AM263" s="110">
        <f t="shared" si="921"/>
        <v>748.48</v>
      </c>
      <c r="AN263" s="110">
        <f t="shared" si="922"/>
        <v>121.83</v>
      </c>
      <c r="AQ263" s="110">
        <f t="shared" si="923"/>
        <v>1496.48</v>
      </c>
      <c r="AR263" s="110">
        <f t="shared" si="924"/>
        <v>416.83</v>
      </c>
      <c r="AT263" s="118"/>
      <c r="AU263" s="118">
        <f t="shared" si="807"/>
        <v>748.48</v>
      </c>
      <c r="AV263" s="118">
        <f>ROUND(AE263*25%,2)</f>
        <v>125.08</v>
      </c>
      <c r="AW263" s="146">
        <v>280</v>
      </c>
      <c r="AX263" s="146">
        <v>179.92</v>
      </c>
      <c r="AY263" s="118">
        <f t="shared" si="925"/>
        <v>2773.96</v>
      </c>
      <c r="AZ263" s="110">
        <f t="shared" si="926"/>
        <v>763.82999999999993</v>
      </c>
      <c r="BA263" s="110">
        <f t="shared" si="927"/>
        <v>3537.79</v>
      </c>
      <c r="BB263" s="142">
        <v>2379.86</v>
      </c>
      <c r="BC263" s="142">
        <v>807.06</v>
      </c>
      <c r="BD263" s="142">
        <f t="shared" si="928"/>
        <v>394.09999999999991</v>
      </c>
      <c r="BE263" s="142">
        <f t="shared" si="929"/>
        <v>-43.230000000000018</v>
      </c>
      <c r="BF263" s="142">
        <f t="shared" si="930"/>
        <v>475.97</v>
      </c>
      <c r="BG263" s="142">
        <f t="shared" si="931"/>
        <v>161.41</v>
      </c>
      <c r="BH263" s="110">
        <v>0</v>
      </c>
      <c r="BI263" s="110">
        <v>14.82</v>
      </c>
      <c r="BL263" s="110">
        <f t="shared" si="945"/>
        <v>2773.96</v>
      </c>
      <c r="BM263" s="110">
        <f t="shared" ref="BM263:BM309" si="953">+BI263+AZ263+BK263</f>
        <v>778.65</v>
      </c>
      <c r="BN263" s="110">
        <f t="shared" ref="BN263:BN309" si="954">BL263+BM263</f>
        <v>3552.61</v>
      </c>
      <c r="BO263" s="110">
        <v>2649.49</v>
      </c>
      <c r="BP263" s="129">
        <v>816.61</v>
      </c>
      <c r="BQ263" s="110">
        <f t="shared" ref="BQ263:BQ309" si="955">BL263-BO263</f>
        <v>124.47000000000025</v>
      </c>
      <c r="BR263" s="110">
        <f t="shared" ref="BR263:BR309" si="956">BM263-BP263</f>
        <v>-37.960000000000036</v>
      </c>
      <c r="BS263" s="110">
        <f t="shared" ref="BS263:BS309" si="957">ROUND(BO263/11,2)</f>
        <v>240.86</v>
      </c>
      <c r="BT263" s="110">
        <f t="shared" ref="BT263:BT309" si="958">ROUND(BP263/11,2)</f>
        <v>74.239999999999995</v>
      </c>
      <c r="BU263" s="111">
        <v>140</v>
      </c>
      <c r="BV263" s="146">
        <v>46.64</v>
      </c>
      <c r="BW263" s="146">
        <v>14.85</v>
      </c>
      <c r="BX263" s="146"/>
      <c r="BY263" s="146"/>
      <c r="BZ263" s="146"/>
      <c r="CA263" s="110">
        <f t="shared" ref="CA263:CA309" si="959">+BL263+BU263+BW263</f>
        <v>2928.81</v>
      </c>
      <c r="CB263" s="110">
        <f t="shared" ref="CB263:CB309" si="960">+BM263+BV263+BX263</f>
        <v>825.29</v>
      </c>
    </row>
    <row r="264" spans="1:80" ht="18" x14ac:dyDescent="0.3">
      <c r="A264" s="18">
        <v>2</v>
      </c>
      <c r="B264" s="18" t="s">
        <v>429</v>
      </c>
      <c r="C264" s="19" t="s">
        <v>40</v>
      </c>
      <c r="D264" s="20" t="s">
        <v>430</v>
      </c>
      <c r="E264" s="21" t="s">
        <v>431</v>
      </c>
      <c r="F264" s="82">
        <v>697.83</v>
      </c>
      <c r="G264" s="82">
        <v>89.22</v>
      </c>
      <c r="H264" s="82">
        <v>697.83</v>
      </c>
      <c r="I264" s="22">
        <v>89.22</v>
      </c>
      <c r="J264" s="89">
        <v>750</v>
      </c>
      <c r="K264" s="89">
        <v>0</v>
      </c>
      <c r="L264" s="89">
        <v>0</v>
      </c>
      <c r="M264" s="89">
        <f t="shared" si="938"/>
        <v>750</v>
      </c>
      <c r="N264" s="89">
        <v>0</v>
      </c>
      <c r="O264" s="89">
        <v>0</v>
      </c>
      <c r="P264" s="89">
        <v>0</v>
      </c>
      <c r="Q264" s="89">
        <f t="shared" si="948"/>
        <v>0</v>
      </c>
      <c r="R264" s="89">
        <f t="shared" si="940"/>
        <v>750</v>
      </c>
      <c r="S264" s="89">
        <v>95</v>
      </c>
      <c r="V264" s="22">
        <f t="shared" si="949"/>
        <v>738.51</v>
      </c>
      <c r="W264" s="22">
        <f t="shared" si="950"/>
        <v>92.14</v>
      </c>
      <c r="X264" s="22">
        <f t="shared" si="910"/>
        <v>11.490000000000009</v>
      </c>
      <c r="Y264" s="22">
        <f t="shared" si="911"/>
        <v>2.8599999999999994</v>
      </c>
      <c r="Z264" s="22">
        <v>738.51</v>
      </c>
      <c r="AA264" s="22"/>
      <c r="AB264" s="22">
        <f t="shared" si="912"/>
        <v>738.51</v>
      </c>
      <c r="AC264" s="111">
        <f t="shared" si="913"/>
        <v>0</v>
      </c>
      <c r="AD264" s="22">
        <f t="shared" si="951"/>
        <v>738.51</v>
      </c>
      <c r="AE264" s="22">
        <f>IF(Y264&gt;0,W264,S264)-61.14</f>
        <v>31</v>
      </c>
      <c r="AF264" s="22">
        <f t="shared" si="916"/>
        <v>85.71</v>
      </c>
      <c r="AG264" s="110">
        <f t="shared" si="917"/>
        <v>185</v>
      </c>
      <c r="AH264" s="110">
        <v>23</v>
      </c>
      <c r="AI264" s="129">
        <f t="shared" si="919"/>
        <v>62</v>
      </c>
      <c r="AJ264" s="110">
        <v>8</v>
      </c>
      <c r="AM264" s="110">
        <f t="shared" si="921"/>
        <v>184.63</v>
      </c>
      <c r="AN264" s="110">
        <f>ROUND(AE264*24.35%,2)-7.55</f>
        <v>0</v>
      </c>
      <c r="AQ264" s="110">
        <f t="shared" si="923"/>
        <v>369.63</v>
      </c>
      <c r="AR264" s="110">
        <f t="shared" si="924"/>
        <v>23</v>
      </c>
      <c r="AT264" s="118"/>
      <c r="AU264" s="118">
        <f t="shared" si="807"/>
        <v>184.63</v>
      </c>
      <c r="AV264" s="118">
        <f>ROUND(AE264*25%,2)-7.75</f>
        <v>0</v>
      </c>
      <c r="AW264" s="146">
        <v>10</v>
      </c>
      <c r="AX264" s="118"/>
      <c r="AY264" s="118">
        <f t="shared" si="925"/>
        <v>626.26</v>
      </c>
      <c r="AZ264" s="110">
        <f t="shared" si="926"/>
        <v>31</v>
      </c>
      <c r="BA264" s="110">
        <f t="shared" si="927"/>
        <v>657.26</v>
      </c>
      <c r="BB264" s="142">
        <v>624.62</v>
      </c>
      <c r="BC264" s="142">
        <v>10.61</v>
      </c>
      <c r="BD264" s="142">
        <f t="shared" si="928"/>
        <v>1.6399999999999864</v>
      </c>
      <c r="BE264" s="142">
        <f t="shared" si="929"/>
        <v>20.39</v>
      </c>
      <c r="BF264" s="142">
        <f t="shared" si="930"/>
        <v>124.92</v>
      </c>
      <c r="BG264" s="142">
        <f t="shared" si="931"/>
        <v>2.12</v>
      </c>
      <c r="BH264" s="110">
        <v>59.14</v>
      </c>
      <c r="BI264" s="110">
        <v>0</v>
      </c>
      <c r="BJ264" s="110">
        <v>7</v>
      </c>
      <c r="BL264" s="110">
        <f t="shared" si="945"/>
        <v>692.4</v>
      </c>
      <c r="BM264" s="110">
        <f t="shared" si="953"/>
        <v>31</v>
      </c>
      <c r="BN264" s="110">
        <f t="shared" si="954"/>
        <v>723.4</v>
      </c>
      <c r="BO264" s="110">
        <v>690.73</v>
      </c>
      <c r="BP264" s="129">
        <v>12.11</v>
      </c>
      <c r="BQ264" s="110">
        <f t="shared" si="955"/>
        <v>1.6699999999999591</v>
      </c>
      <c r="BR264" s="110">
        <f t="shared" si="956"/>
        <v>18.89</v>
      </c>
      <c r="BS264" s="110">
        <f t="shared" si="957"/>
        <v>62.79</v>
      </c>
      <c r="BT264" s="110">
        <f t="shared" si="958"/>
        <v>1.1000000000000001</v>
      </c>
      <c r="BU264" s="146">
        <v>60</v>
      </c>
      <c r="BV264" s="110">
        <v>0</v>
      </c>
      <c r="BW264" s="111">
        <v>25</v>
      </c>
      <c r="CA264" s="110">
        <f t="shared" si="959"/>
        <v>777.4</v>
      </c>
      <c r="CB264" s="110">
        <f t="shared" si="960"/>
        <v>31</v>
      </c>
    </row>
    <row r="265" spans="1:80" ht="36" x14ac:dyDescent="0.3">
      <c r="A265" s="46"/>
      <c r="B265" s="46"/>
      <c r="C265" s="47"/>
      <c r="D265" s="48" t="s">
        <v>432</v>
      </c>
      <c r="E265" s="49" t="s">
        <v>433</v>
      </c>
      <c r="F265" s="50">
        <v>3526.83</v>
      </c>
      <c r="G265" s="50">
        <v>804.11999999999989</v>
      </c>
      <c r="H265" s="50">
        <v>3526.83</v>
      </c>
      <c r="I265" s="50">
        <v>804.11999999999989</v>
      </c>
      <c r="J265" s="94">
        <f t="shared" ref="J265:AA265" si="961">+J263+J264</f>
        <v>3970</v>
      </c>
      <c r="K265" s="94">
        <f t="shared" si="961"/>
        <v>0</v>
      </c>
      <c r="L265" s="94">
        <f t="shared" si="961"/>
        <v>0</v>
      </c>
      <c r="M265" s="94">
        <f t="shared" si="961"/>
        <v>3970</v>
      </c>
      <c r="N265" s="94">
        <f t="shared" si="961"/>
        <v>0</v>
      </c>
      <c r="O265" s="94">
        <f t="shared" si="961"/>
        <v>0</v>
      </c>
      <c r="P265" s="94">
        <f t="shared" si="961"/>
        <v>0</v>
      </c>
      <c r="Q265" s="94">
        <f t="shared" si="961"/>
        <v>0</v>
      </c>
      <c r="R265" s="94">
        <f t="shared" si="961"/>
        <v>3970</v>
      </c>
      <c r="S265" s="94">
        <f t="shared" si="961"/>
        <v>595.32999999999993</v>
      </c>
      <c r="T265" s="94">
        <f t="shared" si="961"/>
        <v>0</v>
      </c>
      <c r="U265" s="94">
        <f t="shared" si="961"/>
        <v>0</v>
      </c>
      <c r="V265" s="94">
        <f t="shared" si="961"/>
        <v>3732.4399999999996</v>
      </c>
      <c r="W265" s="94">
        <f t="shared" si="961"/>
        <v>830.42</v>
      </c>
      <c r="X265" s="94">
        <f t="shared" si="961"/>
        <v>237.56000000000017</v>
      </c>
      <c r="Y265" s="94">
        <f t="shared" si="961"/>
        <v>-235.08999999999997</v>
      </c>
      <c r="Z265" s="94">
        <f t="shared" si="961"/>
        <v>3732.4399999999996</v>
      </c>
      <c r="AA265" s="94">
        <f t="shared" si="961"/>
        <v>0</v>
      </c>
      <c r="AB265" s="50">
        <f t="shared" si="912"/>
        <v>3732.4399999999996</v>
      </c>
      <c r="AC265" s="111">
        <f t="shared" si="913"/>
        <v>0</v>
      </c>
      <c r="AD265" s="50">
        <f t="shared" ref="AD265:CB265" si="962">+AD263+AD264</f>
        <v>3732.4399999999996</v>
      </c>
      <c r="AE265" s="50">
        <f t="shared" si="962"/>
        <v>531.32999999999993</v>
      </c>
      <c r="AF265" s="50">
        <f t="shared" si="962"/>
        <v>537.11</v>
      </c>
      <c r="AG265" s="50">
        <f t="shared" si="962"/>
        <v>933</v>
      </c>
      <c r="AH265" s="50">
        <f t="shared" si="962"/>
        <v>148</v>
      </c>
      <c r="AI265" s="133">
        <f t="shared" si="962"/>
        <v>311</v>
      </c>
      <c r="AJ265" s="50">
        <f t="shared" si="962"/>
        <v>50</v>
      </c>
      <c r="AK265" s="50">
        <f t="shared" si="962"/>
        <v>0</v>
      </c>
      <c r="AL265" s="50">
        <f t="shared" si="962"/>
        <v>170</v>
      </c>
      <c r="AM265" s="50">
        <f t="shared" si="962"/>
        <v>933.11</v>
      </c>
      <c r="AN265" s="50">
        <f t="shared" si="962"/>
        <v>121.83</v>
      </c>
      <c r="AO265" s="50">
        <f t="shared" si="962"/>
        <v>0</v>
      </c>
      <c r="AP265" s="50">
        <f t="shared" si="962"/>
        <v>0</v>
      </c>
      <c r="AQ265" s="50">
        <f t="shared" si="962"/>
        <v>1866.1100000000001</v>
      </c>
      <c r="AR265" s="50">
        <f t="shared" si="962"/>
        <v>439.83</v>
      </c>
      <c r="AS265" s="50">
        <f t="shared" si="962"/>
        <v>0</v>
      </c>
      <c r="AT265" s="50">
        <f t="shared" si="962"/>
        <v>0</v>
      </c>
      <c r="AU265" s="50">
        <f t="shared" si="962"/>
        <v>933.11</v>
      </c>
      <c r="AV265" s="50">
        <f t="shared" si="962"/>
        <v>125.08</v>
      </c>
      <c r="AW265" s="50">
        <f t="shared" si="962"/>
        <v>290</v>
      </c>
      <c r="AX265" s="50">
        <f t="shared" si="962"/>
        <v>179.92</v>
      </c>
      <c r="AY265" s="50">
        <f t="shared" si="962"/>
        <v>3400.2200000000003</v>
      </c>
      <c r="AZ265" s="50">
        <f t="shared" si="962"/>
        <v>794.82999999999993</v>
      </c>
      <c r="BA265" s="50">
        <f t="shared" si="962"/>
        <v>4195.05</v>
      </c>
      <c r="BB265" s="50">
        <f t="shared" si="962"/>
        <v>3004.48</v>
      </c>
      <c r="BC265" s="50">
        <f t="shared" si="962"/>
        <v>817.67</v>
      </c>
      <c r="BD265" s="50">
        <f t="shared" si="962"/>
        <v>395.7399999999999</v>
      </c>
      <c r="BE265" s="50">
        <f t="shared" si="962"/>
        <v>-22.840000000000018</v>
      </c>
      <c r="BF265" s="50">
        <f t="shared" si="962"/>
        <v>600.89</v>
      </c>
      <c r="BG265" s="50">
        <f t="shared" si="962"/>
        <v>163.53</v>
      </c>
      <c r="BH265" s="50">
        <f t="shared" si="962"/>
        <v>59.14</v>
      </c>
      <c r="BI265" s="50">
        <f t="shared" si="962"/>
        <v>14.82</v>
      </c>
      <c r="BJ265" s="50">
        <f t="shared" si="962"/>
        <v>7</v>
      </c>
      <c r="BK265" s="50">
        <f t="shared" si="962"/>
        <v>0</v>
      </c>
      <c r="BL265" s="50">
        <f t="shared" si="962"/>
        <v>3466.36</v>
      </c>
      <c r="BM265" s="50">
        <f t="shared" si="962"/>
        <v>809.65</v>
      </c>
      <c r="BN265" s="50">
        <f t="shared" si="962"/>
        <v>4276.01</v>
      </c>
      <c r="BO265" s="50">
        <f t="shared" si="962"/>
        <v>3340.22</v>
      </c>
      <c r="BP265" s="133">
        <f t="shared" si="962"/>
        <v>828.72</v>
      </c>
      <c r="BQ265" s="50">
        <f t="shared" si="962"/>
        <v>126.14000000000021</v>
      </c>
      <c r="BR265" s="50">
        <f t="shared" si="962"/>
        <v>-19.070000000000036</v>
      </c>
      <c r="BS265" s="50">
        <f t="shared" si="962"/>
        <v>303.65000000000003</v>
      </c>
      <c r="BT265" s="50">
        <f t="shared" si="962"/>
        <v>75.339999999999989</v>
      </c>
      <c r="BU265" s="50">
        <f t="shared" si="962"/>
        <v>200</v>
      </c>
      <c r="BV265" s="50">
        <f t="shared" si="962"/>
        <v>46.64</v>
      </c>
      <c r="BW265" s="50">
        <f t="shared" si="962"/>
        <v>39.85</v>
      </c>
      <c r="BX265" s="50">
        <f t="shared" si="962"/>
        <v>0</v>
      </c>
      <c r="BY265" s="50">
        <f t="shared" si="962"/>
        <v>0</v>
      </c>
      <c r="BZ265" s="50">
        <f t="shared" si="962"/>
        <v>0</v>
      </c>
      <c r="CA265" s="50">
        <f t="shared" si="962"/>
        <v>3706.21</v>
      </c>
      <c r="CB265" s="50">
        <f t="shared" si="962"/>
        <v>856.29</v>
      </c>
    </row>
    <row r="266" spans="1:80" ht="18" x14ac:dyDescent="0.3">
      <c r="A266" s="18">
        <v>1</v>
      </c>
      <c r="B266" s="18" t="s">
        <v>434</v>
      </c>
      <c r="C266" s="19" t="s">
        <v>89</v>
      </c>
      <c r="D266" s="20" t="s">
        <v>435</v>
      </c>
      <c r="E266" s="21" t="s">
        <v>436</v>
      </c>
      <c r="F266" s="82">
        <v>2282.5699999999997</v>
      </c>
      <c r="G266" s="82">
        <v>3314.62</v>
      </c>
      <c r="H266" s="82">
        <v>2282.5699999999997</v>
      </c>
      <c r="I266" s="22">
        <v>3314.62</v>
      </c>
      <c r="J266" s="89">
        <v>2170</v>
      </c>
      <c r="K266" s="88">
        <v>149.75</v>
      </c>
      <c r="L266" s="88">
        <v>0.25</v>
      </c>
      <c r="M266" s="89">
        <f t="shared" si="938"/>
        <v>2320</v>
      </c>
      <c r="N266" s="88">
        <v>0</v>
      </c>
      <c r="O266" s="88">
        <v>0</v>
      </c>
      <c r="P266" s="88">
        <v>0</v>
      </c>
      <c r="Q266" s="89">
        <f t="shared" ref="Q266" si="963">+P266+O266+N266</f>
        <v>0</v>
      </c>
      <c r="R266" s="89">
        <f t="shared" si="940"/>
        <v>2320</v>
      </c>
      <c r="S266" s="88">
        <v>3600</v>
      </c>
      <c r="V266" s="22">
        <f t="shared" ref="V266:V268" si="964">ROUND(H266*1.0583,2)</f>
        <v>2415.64</v>
      </c>
      <c r="W266" s="22">
        <f t="shared" ref="W266:W268" si="965">ROUND(I266*1.0327,2)</f>
        <v>3423.01</v>
      </c>
      <c r="X266" s="22">
        <f t="shared" si="910"/>
        <v>-95.639999999999873</v>
      </c>
      <c r="Y266" s="22">
        <f t="shared" si="911"/>
        <v>176.98999999999978</v>
      </c>
      <c r="Z266" s="22">
        <v>2320</v>
      </c>
      <c r="AA266" s="22"/>
      <c r="AB266" s="22">
        <f t="shared" si="912"/>
        <v>2320</v>
      </c>
      <c r="AC266" s="111">
        <f t="shared" si="913"/>
        <v>0</v>
      </c>
      <c r="AD266" s="22">
        <f t="shared" ref="AD266:AD267" si="966">IF(X266&gt;0,V266,R266)</f>
        <v>2320</v>
      </c>
      <c r="AE266" s="22">
        <f t="shared" ref="AE266:AE267" si="967">IF(Y266&gt;0,W266,S266)</f>
        <v>3423.01</v>
      </c>
      <c r="AF266" s="22">
        <f t="shared" si="916"/>
        <v>3247.92</v>
      </c>
      <c r="AG266" s="110">
        <f t="shared" si="917"/>
        <v>580</v>
      </c>
      <c r="AH266" s="110">
        <f t="shared" si="918"/>
        <v>856</v>
      </c>
      <c r="AI266" s="129">
        <f t="shared" si="919"/>
        <v>193</v>
      </c>
      <c r="AJ266" s="110">
        <f t="shared" si="920"/>
        <v>285</v>
      </c>
      <c r="AM266" s="110">
        <f t="shared" si="921"/>
        <v>580</v>
      </c>
      <c r="AN266" s="110">
        <f t="shared" si="922"/>
        <v>833.5</v>
      </c>
      <c r="AQ266" s="110">
        <f t="shared" si="923"/>
        <v>1160</v>
      </c>
      <c r="AR266" s="110">
        <f t="shared" si="924"/>
        <v>1689.5</v>
      </c>
      <c r="AU266" s="110">
        <f t="shared" si="807"/>
        <v>580</v>
      </c>
      <c r="AV266" s="110">
        <f t="shared" ref="AV266:AV285" si="968">ROUND(AE266*25%,2)</f>
        <v>855.75</v>
      </c>
      <c r="AY266" s="110">
        <f t="shared" si="925"/>
        <v>1933</v>
      </c>
      <c r="AZ266" s="110">
        <f t="shared" si="926"/>
        <v>2830.25</v>
      </c>
      <c r="BA266" s="110">
        <f t="shared" si="927"/>
        <v>4763.25</v>
      </c>
      <c r="BB266" s="142">
        <v>1806.86</v>
      </c>
      <c r="BC266" s="142">
        <v>3182.63</v>
      </c>
      <c r="BD266" s="142">
        <f t="shared" si="928"/>
        <v>126.1400000000001</v>
      </c>
      <c r="BE266" s="142">
        <f t="shared" si="929"/>
        <v>-352.38000000000011</v>
      </c>
      <c r="BF266" s="142">
        <f t="shared" si="930"/>
        <v>361.37</v>
      </c>
      <c r="BG266" s="142">
        <f t="shared" si="931"/>
        <v>636.53</v>
      </c>
      <c r="BH266" s="110">
        <v>117.62</v>
      </c>
      <c r="BI266" s="110">
        <v>450</v>
      </c>
      <c r="BL266" s="110">
        <f t="shared" si="945"/>
        <v>2050.62</v>
      </c>
      <c r="BM266" s="110">
        <f t="shared" si="953"/>
        <v>3280.25</v>
      </c>
      <c r="BN266" s="110">
        <f t="shared" si="954"/>
        <v>5330.87</v>
      </c>
      <c r="BO266" s="110">
        <v>1997.81</v>
      </c>
      <c r="BP266" s="170">
        <v>3513.85</v>
      </c>
      <c r="BQ266" s="110">
        <f t="shared" si="955"/>
        <v>52.809999999999945</v>
      </c>
      <c r="BR266" s="110">
        <f t="shared" si="956"/>
        <v>-233.59999999999991</v>
      </c>
      <c r="BS266" s="110">
        <f t="shared" si="957"/>
        <v>181.62</v>
      </c>
      <c r="BT266" s="110">
        <f t="shared" si="958"/>
        <v>319.44</v>
      </c>
      <c r="BU266" s="146">
        <v>139.38</v>
      </c>
      <c r="BV266" s="110">
        <f>ROUND(BT266-BR266,2)</f>
        <v>553.04</v>
      </c>
      <c r="BX266" s="110">
        <f>80+21.71</f>
        <v>101.71000000000001</v>
      </c>
      <c r="CA266" s="110">
        <f t="shared" si="959"/>
        <v>2190</v>
      </c>
      <c r="CB266" s="110">
        <f t="shared" si="960"/>
        <v>3935</v>
      </c>
    </row>
    <row r="267" spans="1:80" ht="18" x14ac:dyDescent="0.3">
      <c r="A267" s="13">
        <v>2</v>
      </c>
      <c r="B267" s="13"/>
      <c r="C267" s="14"/>
      <c r="D267" s="15" t="s">
        <v>437</v>
      </c>
      <c r="E267" s="16"/>
      <c r="F267" s="82">
        <v>626.40000000000009</v>
      </c>
      <c r="G267" s="82">
        <v>33.229999999999997</v>
      </c>
      <c r="H267" s="82">
        <v>626.40000000000009</v>
      </c>
      <c r="I267" s="17">
        <v>33.229999999999997</v>
      </c>
      <c r="J267" s="87">
        <v>773.83</v>
      </c>
      <c r="K267" s="88"/>
      <c r="L267" s="88"/>
      <c r="M267" s="88">
        <f t="shared" ref="M267:M268" si="969">J267+K267+L267</f>
        <v>773.83</v>
      </c>
      <c r="N267" s="88"/>
      <c r="O267" s="88"/>
      <c r="P267" s="88"/>
      <c r="Q267" s="88">
        <f t="shared" ref="Q267:Q268" si="970">N267+O267+P267</f>
        <v>0</v>
      </c>
      <c r="R267" s="88">
        <f t="shared" si="940"/>
        <v>773.83</v>
      </c>
      <c r="S267" s="88">
        <v>0</v>
      </c>
      <c r="V267" s="17">
        <f t="shared" si="964"/>
        <v>662.92</v>
      </c>
      <c r="W267" s="17">
        <f t="shared" si="965"/>
        <v>34.32</v>
      </c>
      <c r="X267" s="110">
        <f t="shared" si="910"/>
        <v>110.91000000000008</v>
      </c>
      <c r="Y267" s="110">
        <f t="shared" si="911"/>
        <v>-34.32</v>
      </c>
      <c r="Z267" s="110">
        <v>662.92</v>
      </c>
      <c r="AA267" s="110"/>
      <c r="AB267" s="110">
        <f t="shared" si="912"/>
        <v>662.92</v>
      </c>
      <c r="AC267" s="111">
        <f t="shared" si="913"/>
        <v>0</v>
      </c>
      <c r="AD267" s="110">
        <f t="shared" si="966"/>
        <v>662.92</v>
      </c>
      <c r="AE267" s="110">
        <f t="shared" si="967"/>
        <v>0</v>
      </c>
      <c r="AF267" s="110">
        <f t="shared" si="916"/>
        <v>0</v>
      </c>
      <c r="AG267" s="110">
        <f t="shared" si="917"/>
        <v>166</v>
      </c>
      <c r="AH267" s="110">
        <f t="shared" si="918"/>
        <v>0</v>
      </c>
      <c r="AI267" s="129">
        <f t="shared" si="919"/>
        <v>55</v>
      </c>
      <c r="AJ267" s="110">
        <f t="shared" si="920"/>
        <v>0</v>
      </c>
      <c r="AM267" s="110">
        <f t="shared" si="921"/>
        <v>165.73</v>
      </c>
      <c r="AN267" s="110">
        <f t="shared" si="922"/>
        <v>0</v>
      </c>
      <c r="AQ267" s="110">
        <f t="shared" si="923"/>
        <v>331.73</v>
      </c>
      <c r="AR267" s="110">
        <f t="shared" si="924"/>
        <v>0</v>
      </c>
      <c r="AU267" s="110">
        <f t="shared" si="807"/>
        <v>165.73</v>
      </c>
      <c r="AV267" s="110">
        <f t="shared" si="968"/>
        <v>0</v>
      </c>
      <c r="AY267" s="110">
        <f t="shared" si="925"/>
        <v>552.46</v>
      </c>
      <c r="AZ267" s="110">
        <f t="shared" si="926"/>
        <v>0</v>
      </c>
      <c r="BA267" s="110">
        <f t="shared" si="927"/>
        <v>552.46</v>
      </c>
      <c r="BB267" s="142">
        <v>497.29</v>
      </c>
      <c r="BC267" s="142">
        <v>0</v>
      </c>
      <c r="BD267" s="142">
        <f t="shared" si="928"/>
        <v>55.170000000000016</v>
      </c>
      <c r="BE267" s="142">
        <f t="shared" si="929"/>
        <v>0</v>
      </c>
      <c r="BF267" s="142">
        <f t="shared" si="930"/>
        <v>99.46</v>
      </c>
      <c r="BG267" s="142">
        <f t="shared" si="931"/>
        <v>0</v>
      </c>
      <c r="BH267" s="110">
        <v>22.15</v>
      </c>
      <c r="BI267" s="110">
        <v>0</v>
      </c>
      <c r="BL267" s="110">
        <f t="shared" si="945"/>
        <v>574.61</v>
      </c>
      <c r="BM267" s="110">
        <f t="shared" si="953"/>
        <v>0</v>
      </c>
      <c r="BN267" s="110">
        <f t="shared" si="954"/>
        <v>574.61</v>
      </c>
      <c r="BO267" s="110">
        <v>553.55999999999995</v>
      </c>
      <c r="BP267" s="129"/>
      <c r="BQ267" s="110">
        <f t="shared" si="955"/>
        <v>21.050000000000068</v>
      </c>
      <c r="BR267" s="110">
        <f t="shared" si="956"/>
        <v>0</v>
      </c>
      <c r="BS267" s="110">
        <f t="shared" si="957"/>
        <v>50.32</v>
      </c>
      <c r="BT267" s="110">
        <f t="shared" si="958"/>
        <v>0</v>
      </c>
      <c r="BU267" s="110">
        <f>ROUND(BS267-BQ267,2)</f>
        <v>29.27</v>
      </c>
      <c r="BV267" s="110">
        <f t="shared" ref="BV267:BV268" si="971">ROUND(BT267-BR267,2)</f>
        <v>0</v>
      </c>
      <c r="BW267" s="111">
        <v>35</v>
      </c>
      <c r="CA267" s="110">
        <f t="shared" si="959"/>
        <v>638.88</v>
      </c>
      <c r="CB267" s="110">
        <f t="shared" si="960"/>
        <v>0</v>
      </c>
    </row>
    <row r="268" spans="1:80" ht="36" x14ac:dyDescent="0.3">
      <c r="A268" s="13">
        <v>3</v>
      </c>
      <c r="B268" s="13"/>
      <c r="C268" s="14"/>
      <c r="D268" s="15" t="s">
        <v>438</v>
      </c>
      <c r="E268" s="16"/>
      <c r="F268" s="82">
        <v>1458.7700000000002</v>
      </c>
      <c r="G268" s="82">
        <v>0</v>
      </c>
      <c r="H268" s="82">
        <v>1458.7700000000002</v>
      </c>
      <c r="I268" s="17">
        <v>0</v>
      </c>
      <c r="J268" s="87">
        <v>920</v>
      </c>
      <c r="K268" s="88"/>
      <c r="L268" s="88"/>
      <c r="M268" s="88">
        <f t="shared" si="969"/>
        <v>920</v>
      </c>
      <c r="N268" s="88"/>
      <c r="O268" s="88"/>
      <c r="P268" s="88"/>
      <c r="Q268" s="88">
        <f t="shared" si="970"/>
        <v>0</v>
      </c>
      <c r="R268" s="88">
        <f t="shared" si="940"/>
        <v>920</v>
      </c>
      <c r="S268" s="88">
        <v>0</v>
      </c>
      <c r="V268" s="17">
        <f t="shared" si="964"/>
        <v>1543.82</v>
      </c>
      <c r="W268" s="17">
        <f t="shared" si="965"/>
        <v>0</v>
      </c>
      <c r="X268" s="110">
        <f t="shared" si="910"/>
        <v>-623.81999999999994</v>
      </c>
      <c r="Y268" s="110">
        <f t="shared" si="911"/>
        <v>0</v>
      </c>
      <c r="Z268" s="110">
        <v>920</v>
      </c>
      <c r="AA268" s="110"/>
      <c r="AB268" s="110">
        <f t="shared" si="912"/>
        <v>920</v>
      </c>
      <c r="AC268" s="111">
        <f t="shared" si="913"/>
        <v>0</v>
      </c>
      <c r="AD268" s="110">
        <f t="shared" ref="AD268" si="972">IF(X268&gt;0,V268,R268)</f>
        <v>920</v>
      </c>
      <c r="AE268" s="110">
        <f t="shared" ref="AE268" si="973">IF(Y268&gt;0,W268,S268)</f>
        <v>0</v>
      </c>
      <c r="AF268" s="110">
        <f t="shared" si="916"/>
        <v>0</v>
      </c>
      <c r="AG268" s="110">
        <f t="shared" si="917"/>
        <v>230</v>
      </c>
      <c r="AH268" s="110">
        <f t="shared" si="918"/>
        <v>0</v>
      </c>
      <c r="AI268" s="129">
        <f t="shared" si="919"/>
        <v>77</v>
      </c>
      <c r="AJ268" s="110">
        <f t="shared" si="920"/>
        <v>0</v>
      </c>
      <c r="AM268" s="110">
        <f t="shared" si="921"/>
        <v>230</v>
      </c>
      <c r="AN268" s="110">
        <f t="shared" si="922"/>
        <v>0</v>
      </c>
      <c r="AQ268" s="110">
        <f t="shared" si="923"/>
        <v>460</v>
      </c>
      <c r="AR268" s="110">
        <f t="shared" si="924"/>
        <v>0</v>
      </c>
      <c r="AU268" s="110">
        <f t="shared" si="807"/>
        <v>230</v>
      </c>
      <c r="AV268" s="110">
        <f t="shared" si="968"/>
        <v>0</v>
      </c>
      <c r="AY268" s="110">
        <f t="shared" si="925"/>
        <v>767</v>
      </c>
      <c r="AZ268" s="110">
        <f t="shared" si="926"/>
        <v>0</v>
      </c>
      <c r="BA268" s="110">
        <f t="shared" si="927"/>
        <v>767</v>
      </c>
      <c r="BB268" s="142">
        <v>743.42</v>
      </c>
      <c r="BD268" s="142">
        <f t="shared" si="928"/>
        <v>23.580000000000041</v>
      </c>
      <c r="BE268" s="142">
        <f t="shared" si="929"/>
        <v>0</v>
      </c>
      <c r="BF268" s="142">
        <f t="shared" si="930"/>
        <v>148.68</v>
      </c>
      <c r="BG268" s="142">
        <f t="shared" si="931"/>
        <v>0</v>
      </c>
      <c r="BH268" s="110">
        <v>62.55</v>
      </c>
      <c r="BI268" s="110">
        <v>0</v>
      </c>
      <c r="BL268" s="110">
        <f t="shared" si="945"/>
        <v>829.55</v>
      </c>
      <c r="BM268" s="110">
        <f t="shared" si="953"/>
        <v>0</v>
      </c>
      <c r="BN268" s="110">
        <f t="shared" si="954"/>
        <v>829.55</v>
      </c>
      <c r="BO268" s="110">
        <v>819.56</v>
      </c>
      <c r="BP268" s="129"/>
      <c r="BQ268" s="110">
        <f t="shared" si="955"/>
        <v>9.9900000000000091</v>
      </c>
      <c r="BR268" s="110">
        <f t="shared" si="956"/>
        <v>0</v>
      </c>
      <c r="BS268" s="110">
        <f t="shared" si="957"/>
        <v>74.510000000000005</v>
      </c>
      <c r="BT268" s="110">
        <f t="shared" si="958"/>
        <v>0</v>
      </c>
      <c r="BU268" s="110">
        <f t="shared" ref="BU268:BU309" si="974">BS268-BQ268</f>
        <v>64.52</v>
      </c>
      <c r="BV268" s="110">
        <f t="shared" si="971"/>
        <v>0</v>
      </c>
      <c r="BW268" s="111">
        <v>525.92999999999995</v>
      </c>
      <c r="CA268" s="110">
        <f t="shared" si="959"/>
        <v>1420</v>
      </c>
      <c r="CB268" s="110">
        <f t="shared" si="960"/>
        <v>0</v>
      </c>
    </row>
    <row r="269" spans="1:80" ht="18" x14ac:dyDescent="0.3">
      <c r="A269" s="18"/>
      <c r="B269" s="18" t="s">
        <v>439</v>
      </c>
      <c r="C269" s="19" t="s">
        <v>23</v>
      </c>
      <c r="D269" s="20" t="s">
        <v>437</v>
      </c>
      <c r="E269" s="21" t="s">
        <v>440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9">
        <f t="shared" ref="J269:AA269" si="975">+J267+J268</f>
        <v>1693.83</v>
      </c>
      <c r="K269" s="89">
        <f t="shared" si="975"/>
        <v>0</v>
      </c>
      <c r="L269" s="89">
        <f t="shared" si="975"/>
        <v>0</v>
      </c>
      <c r="M269" s="89">
        <f t="shared" si="975"/>
        <v>1693.83</v>
      </c>
      <c r="N269" s="89">
        <f t="shared" si="975"/>
        <v>0</v>
      </c>
      <c r="O269" s="89">
        <f t="shared" si="975"/>
        <v>0</v>
      </c>
      <c r="P269" s="89">
        <f t="shared" si="975"/>
        <v>0</v>
      </c>
      <c r="Q269" s="89">
        <f t="shared" si="975"/>
        <v>0</v>
      </c>
      <c r="R269" s="89">
        <f t="shared" si="975"/>
        <v>1693.83</v>
      </c>
      <c r="S269" s="89">
        <f t="shared" si="975"/>
        <v>0</v>
      </c>
      <c r="T269" s="89">
        <f t="shared" si="975"/>
        <v>0</v>
      </c>
      <c r="U269" s="89">
        <f t="shared" si="975"/>
        <v>0</v>
      </c>
      <c r="V269" s="89">
        <f t="shared" si="975"/>
        <v>2206.7399999999998</v>
      </c>
      <c r="W269" s="89">
        <f t="shared" si="975"/>
        <v>34.32</v>
      </c>
      <c r="X269" s="89">
        <f t="shared" si="975"/>
        <v>-512.90999999999985</v>
      </c>
      <c r="Y269" s="89">
        <f t="shared" si="975"/>
        <v>-34.32</v>
      </c>
      <c r="Z269" s="89">
        <f t="shared" si="975"/>
        <v>1582.92</v>
      </c>
      <c r="AA269" s="89">
        <f t="shared" si="975"/>
        <v>0</v>
      </c>
      <c r="AB269" s="22">
        <f t="shared" si="912"/>
        <v>1582.92</v>
      </c>
      <c r="AC269" s="111">
        <f t="shared" si="913"/>
        <v>0</v>
      </c>
      <c r="AD269" s="22">
        <f t="shared" ref="AD269:CB269" si="976">+AD267+AD268</f>
        <v>1582.92</v>
      </c>
      <c r="AE269" s="22">
        <f t="shared" si="976"/>
        <v>0</v>
      </c>
      <c r="AF269" s="22">
        <f t="shared" si="976"/>
        <v>0</v>
      </c>
      <c r="AG269" s="22">
        <f t="shared" si="976"/>
        <v>396</v>
      </c>
      <c r="AH269" s="22">
        <f t="shared" si="976"/>
        <v>0</v>
      </c>
      <c r="AI269" s="120">
        <f t="shared" si="976"/>
        <v>132</v>
      </c>
      <c r="AJ269" s="22">
        <f t="shared" si="976"/>
        <v>0</v>
      </c>
      <c r="AK269" s="22">
        <f t="shared" si="976"/>
        <v>0</v>
      </c>
      <c r="AL269" s="22">
        <f t="shared" si="976"/>
        <v>0</v>
      </c>
      <c r="AM269" s="22">
        <f t="shared" si="976"/>
        <v>395.73</v>
      </c>
      <c r="AN269" s="22">
        <f t="shared" si="976"/>
        <v>0</v>
      </c>
      <c r="AO269" s="22">
        <f t="shared" si="976"/>
        <v>0</v>
      </c>
      <c r="AP269" s="22">
        <f t="shared" si="976"/>
        <v>0</v>
      </c>
      <c r="AQ269" s="22">
        <f t="shared" si="976"/>
        <v>791.73</v>
      </c>
      <c r="AR269" s="22">
        <f t="shared" si="976"/>
        <v>0</v>
      </c>
      <c r="AS269" s="22">
        <f t="shared" si="976"/>
        <v>0</v>
      </c>
      <c r="AT269" s="22">
        <f t="shared" si="976"/>
        <v>0</v>
      </c>
      <c r="AU269" s="22">
        <f t="shared" si="976"/>
        <v>395.73</v>
      </c>
      <c r="AV269" s="22">
        <f t="shared" si="976"/>
        <v>0</v>
      </c>
      <c r="AW269" s="22">
        <f t="shared" si="976"/>
        <v>0</v>
      </c>
      <c r="AX269" s="22">
        <f t="shared" si="976"/>
        <v>0</v>
      </c>
      <c r="AY269" s="22">
        <f t="shared" si="976"/>
        <v>1319.46</v>
      </c>
      <c r="AZ269" s="22">
        <f t="shared" si="976"/>
        <v>0</v>
      </c>
      <c r="BA269" s="22">
        <f t="shared" si="976"/>
        <v>1319.46</v>
      </c>
      <c r="BB269" s="22">
        <f t="shared" si="976"/>
        <v>1240.71</v>
      </c>
      <c r="BC269" s="22">
        <f t="shared" si="976"/>
        <v>0</v>
      </c>
      <c r="BD269" s="22">
        <f t="shared" si="976"/>
        <v>78.750000000000057</v>
      </c>
      <c r="BE269" s="22">
        <f t="shared" si="976"/>
        <v>0</v>
      </c>
      <c r="BF269" s="22">
        <f t="shared" si="976"/>
        <v>248.14</v>
      </c>
      <c r="BG269" s="120">
        <f t="shared" si="976"/>
        <v>0</v>
      </c>
      <c r="BH269" s="120">
        <f t="shared" si="976"/>
        <v>84.699999999999989</v>
      </c>
      <c r="BI269" s="120">
        <f t="shared" si="976"/>
        <v>0</v>
      </c>
      <c r="BJ269" s="120">
        <f t="shared" si="976"/>
        <v>0</v>
      </c>
      <c r="BK269" s="120">
        <f t="shared" si="976"/>
        <v>0</v>
      </c>
      <c r="BL269" s="120">
        <f t="shared" si="976"/>
        <v>1404.1599999999999</v>
      </c>
      <c r="BM269" s="120">
        <f t="shared" si="976"/>
        <v>0</v>
      </c>
      <c r="BN269" s="120">
        <f t="shared" si="976"/>
        <v>1404.1599999999999</v>
      </c>
      <c r="BO269" s="120">
        <f t="shared" si="976"/>
        <v>1373.12</v>
      </c>
      <c r="BP269" s="120">
        <f t="shared" si="976"/>
        <v>0</v>
      </c>
      <c r="BQ269" s="22">
        <f t="shared" si="976"/>
        <v>31.040000000000077</v>
      </c>
      <c r="BR269" s="22">
        <f t="shared" si="976"/>
        <v>0</v>
      </c>
      <c r="BS269" s="22">
        <f t="shared" si="976"/>
        <v>124.83000000000001</v>
      </c>
      <c r="BT269" s="22">
        <f t="shared" si="976"/>
        <v>0</v>
      </c>
      <c r="BU269" s="22">
        <f t="shared" si="976"/>
        <v>93.789999999999992</v>
      </c>
      <c r="BV269" s="22">
        <f t="shared" si="976"/>
        <v>0</v>
      </c>
      <c r="BW269" s="22">
        <f t="shared" si="976"/>
        <v>560.92999999999995</v>
      </c>
      <c r="BX269" s="22">
        <f t="shared" si="976"/>
        <v>0</v>
      </c>
      <c r="BY269" s="22">
        <f t="shared" si="976"/>
        <v>0</v>
      </c>
      <c r="BZ269" s="22">
        <f t="shared" si="976"/>
        <v>0</v>
      </c>
      <c r="CA269" s="22">
        <f t="shared" si="976"/>
        <v>2058.88</v>
      </c>
      <c r="CB269" s="22">
        <f t="shared" si="976"/>
        <v>0</v>
      </c>
    </row>
    <row r="270" spans="1:80" ht="18" x14ac:dyDescent="0.3">
      <c r="A270" s="18">
        <v>4</v>
      </c>
      <c r="B270" s="18" t="s">
        <v>441</v>
      </c>
      <c r="C270" s="19" t="s">
        <v>40</v>
      </c>
      <c r="D270" s="20" t="s">
        <v>442</v>
      </c>
      <c r="E270" s="21" t="s">
        <v>443</v>
      </c>
      <c r="F270" s="82">
        <v>0</v>
      </c>
      <c r="G270" s="82">
        <v>0</v>
      </c>
      <c r="H270" s="82">
        <v>0</v>
      </c>
      <c r="I270" s="22">
        <v>0</v>
      </c>
      <c r="J270" s="89">
        <v>0</v>
      </c>
      <c r="K270" s="88">
        <v>0</v>
      </c>
      <c r="L270" s="88">
        <v>0</v>
      </c>
      <c r="M270" s="89">
        <f t="shared" ref="M270:M272" si="977">+L270+K270+J270</f>
        <v>0</v>
      </c>
      <c r="N270" s="88">
        <v>0</v>
      </c>
      <c r="O270" s="88">
        <v>0</v>
      </c>
      <c r="P270" s="88">
        <v>0</v>
      </c>
      <c r="Q270" s="89">
        <f t="shared" ref="Q270" si="978">+P270+O270+N270</f>
        <v>0</v>
      </c>
      <c r="R270" s="89">
        <f t="shared" si="940"/>
        <v>0</v>
      </c>
      <c r="S270" s="89">
        <v>0</v>
      </c>
      <c r="T270" s="89"/>
      <c r="U270" s="89"/>
      <c r="V270" s="89"/>
      <c r="W270" s="89">
        <f t="shared" ref="W270" si="979">+U270+V270</f>
        <v>0</v>
      </c>
      <c r="X270" s="89">
        <f t="shared" si="910"/>
        <v>0</v>
      </c>
      <c r="Y270" s="89">
        <f t="shared" si="911"/>
        <v>0</v>
      </c>
      <c r="Z270" s="89">
        <v>0</v>
      </c>
      <c r="AA270" s="89"/>
      <c r="AB270" s="89">
        <f t="shared" si="912"/>
        <v>0</v>
      </c>
      <c r="AC270" s="111">
        <f t="shared" si="913"/>
        <v>0</v>
      </c>
      <c r="AD270" s="89">
        <f t="shared" ref="AD270" si="980">IF(X270&gt;0,V270,R270)</f>
        <v>0</v>
      </c>
      <c r="AE270" s="89">
        <f t="shared" ref="AE270" si="981">IF(Y270&gt;0,W270,S270)</f>
        <v>0</v>
      </c>
      <c r="AF270" s="89">
        <f t="shared" si="916"/>
        <v>0</v>
      </c>
      <c r="AG270" s="89">
        <f t="shared" si="917"/>
        <v>0</v>
      </c>
      <c r="AH270" s="89">
        <f t="shared" si="918"/>
        <v>0</v>
      </c>
      <c r="AI270" s="136">
        <f t="shared" si="919"/>
        <v>0</v>
      </c>
      <c r="AJ270" s="89">
        <f t="shared" si="920"/>
        <v>0</v>
      </c>
      <c r="AK270" s="89"/>
      <c r="AM270" s="110">
        <f t="shared" si="921"/>
        <v>0</v>
      </c>
      <c r="AN270" s="110">
        <f t="shared" si="922"/>
        <v>0</v>
      </c>
      <c r="AQ270" s="110">
        <f t="shared" si="923"/>
        <v>0</v>
      </c>
      <c r="AR270" s="110">
        <f t="shared" si="924"/>
        <v>0</v>
      </c>
      <c r="AU270" s="110">
        <f t="shared" si="807"/>
        <v>0</v>
      </c>
      <c r="AV270" s="110">
        <f t="shared" si="968"/>
        <v>0</v>
      </c>
      <c r="AY270" s="110">
        <f t="shared" si="925"/>
        <v>0</v>
      </c>
      <c r="AZ270" s="110">
        <f t="shared" si="926"/>
        <v>0</v>
      </c>
      <c r="BA270" s="110">
        <f t="shared" si="927"/>
        <v>0</v>
      </c>
      <c r="BB270" s="142">
        <v>0</v>
      </c>
      <c r="BD270" s="142">
        <f t="shared" si="928"/>
        <v>0</v>
      </c>
      <c r="BE270" s="142">
        <f t="shared" si="929"/>
        <v>0</v>
      </c>
      <c r="BF270" s="142">
        <f t="shared" si="930"/>
        <v>0</v>
      </c>
      <c r="BG270" s="142">
        <f t="shared" si="931"/>
        <v>0</v>
      </c>
      <c r="BH270" s="110">
        <v>0</v>
      </c>
      <c r="BI270" s="110">
        <v>0</v>
      </c>
      <c r="BL270" s="110">
        <f t="shared" si="945"/>
        <v>0</v>
      </c>
      <c r="BM270" s="110">
        <f t="shared" si="953"/>
        <v>0</v>
      </c>
      <c r="BN270" s="110">
        <f t="shared" si="954"/>
        <v>0</v>
      </c>
      <c r="BP270" s="129"/>
      <c r="BQ270" s="110">
        <f t="shared" si="955"/>
        <v>0</v>
      </c>
      <c r="BR270" s="110">
        <f t="shared" si="956"/>
        <v>0</v>
      </c>
      <c r="BS270" s="110">
        <f t="shared" si="957"/>
        <v>0</v>
      </c>
      <c r="BT270" s="110">
        <f t="shared" si="958"/>
        <v>0</v>
      </c>
      <c r="BU270" s="110">
        <f t="shared" si="974"/>
        <v>0</v>
      </c>
      <c r="BV270" s="110">
        <v>0</v>
      </c>
      <c r="CA270" s="110">
        <f t="shared" si="959"/>
        <v>0</v>
      </c>
      <c r="CB270" s="110">
        <f t="shared" si="960"/>
        <v>0</v>
      </c>
    </row>
    <row r="271" spans="1:80" ht="36" x14ac:dyDescent="0.3">
      <c r="A271" s="46"/>
      <c r="B271" s="46"/>
      <c r="C271" s="47"/>
      <c r="D271" s="48" t="s">
        <v>444</v>
      </c>
      <c r="E271" s="49" t="s">
        <v>445</v>
      </c>
      <c r="F271" s="50">
        <v>4367.74</v>
      </c>
      <c r="G271" s="50">
        <v>3347.85</v>
      </c>
      <c r="H271" s="50">
        <v>4367.74</v>
      </c>
      <c r="I271" s="50">
        <v>3347.85</v>
      </c>
      <c r="J271" s="94">
        <f t="shared" ref="J271:AA271" si="982">+J266+J269+J270</f>
        <v>3863.83</v>
      </c>
      <c r="K271" s="94">
        <f t="shared" si="982"/>
        <v>149.75</v>
      </c>
      <c r="L271" s="94">
        <f t="shared" si="982"/>
        <v>0.25</v>
      </c>
      <c r="M271" s="94">
        <f t="shared" si="982"/>
        <v>4013.83</v>
      </c>
      <c r="N271" s="94">
        <f t="shared" si="982"/>
        <v>0</v>
      </c>
      <c r="O271" s="94">
        <f t="shared" si="982"/>
        <v>0</v>
      </c>
      <c r="P271" s="94">
        <f t="shared" si="982"/>
        <v>0</v>
      </c>
      <c r="Q271" s="94">
        <f t="shared" si="982"/>
        <v>0</v>
      </c>
      <c r="R271" s="94">
        <f t="shared" si="982"/>
        <v>4013.83</v>
      </c>
      <c r="S271" s="94">
        <f t="shared" si="982"/>
        <v>3600</v>
      </c>
      <c r="T271" s="94">
        <f t="shared" si="982"/>
        <v>0</v>
      </c>
      <c r="U271" s="94">
        <f t="shared" si="982"/>
        <v>0</v>
      </c>
      <c r="V271" s="94">
        <f t="shared" si="982"/>
        <v>4622.3799999999992</v>
      </c>
      <c r="W271" s="94">
        <f t="shared" si="982"/>
        <v>3457.3300000000004</v>
      </c>
      <c r="X271" s="94">
        <f t="shared" si="982"/>
        <v>-608.54999999999973</v>
      </c>
      <c r="Y271" s="94">
        <f t="shared" si="982"/>
        <v>142.66999999999979</v>
      </c>
      <c r="Z271" s="94">
        <f t="shared" si="982"/>
        <v>3902.92</v>
      </c>
      <c r="AA271" s="94">
        <f t="shared" si="982"/>
        <v>0</v>
      </c>
      <c r="AB271" s="50">
        <f t="shared" si="912"/>
        <v>3902.92</v>
      </c>
      <c r="AC271" s="111">
        <f t="shared" si="913"/>
        <v>0</v>
      </c>
      <c r="AD271" s="50">
        <f t="shared" ref="AD271:CB271" si="983">+AD266+AD269+AD270</f>
        <v>3902.92</v>
      </c>
      <c r="AE271" s="50">
        <f t="shared" si="983"/>
        <v>3423.01</v>
      </c>
      <c r="AF271" s="50">
        <f t="shared" si="983"/>
        <v>3247.92</v>
      </c>
      <c r="AG271" s="50">
        <f t="shared" si="983"/>
        <v>976</v>
      </c>
      <c r="AH271" s="50">
        <f t="shared" si="983"/>
        <v>856</v>
      </c>
      <c r="AI271" s="133">
        <f t="shared" si="983"/>
        <v>325</v>
      </c>
      <c r="AJ271" s="50">
        <f t="shared" si="983"/>
        <v>285</v>
      </c>
      <c r="AK271" s="50">
        <f t="shared" si="983"/>
        <v>0</v>
      </c>
      <c r="AL271" s="50">
        <f t="shared" si="983"/>
        <v>0</v>
      </c>
      <c r="AM271" s="50">
        <f t="shared" si="983"/>
        <v>975.73</v>
      </c>
      <c r="AN271" s="50">
        <f t="shared" si="983"/>
        <v>833.5</v>
      </c>
      <c r="AO271" s="50">
        <f t="shared" si="983"/>
        <v>0</v>
      </c>
      <c r="AP271" s="50">
        <f t="shared" si="983"/>
        <v>0</v>
      </c>
      <c r="AQ271" s="50">
        <f t="shared" si="983"/>
        <v>1951.73</v>
      </c>
      <c r="AR271" s="50">
        <f t="shared" si="983"/>
        <v>1689.5</v>
      </c>
      <c r="AS271" s="50">
        <f t="shared" si="983"/>
        <v>0</v>
      </c>
      <c r="AT271" s="50">
        <f t="shared" si="983"/>
        <v>0</v>
      </c>
      <c r="AU271" s="50">
        <f t="shared" si="983"/>
        <v>975.73</v>
      </c>
      <c r="AV271" s="50">
        <f t="shared" si="983"/>
        <v>855.75</v>
      </c>
      <c r="AW271" s="50">
        <f t="shared" si="983"/>
        <v>0</v>
      </c>
      <c r="AX271" s="50">
        <f t="shared" si="983"/>
        <v>0</v>
      </c>
      <c r="AY271" s="50">
        <f t="shared" si="983"/>
        <v>3252.46</v>
      </c>
      <c r="AZ271" s="50">
        <f t="shared" si="983"/>
        <v>2830.25</v>
      </c>
      <c r="BA271" s="50">
        <f t="shared" si="983"/>
        <v>6082.71</v>
      </c>
      <c r="BB271" s="50">
        <f t="shared" si="983"/>
        <v>3047.5699999999997</v>
      </c>
      <c r="BC271" s="50">
        <f t="shared" si="983"/>
        <v>3182.63</v>
      </c>
      <c r="BD271" s="50">
        <f t="shared" si="983"/>
        <v>204.89000000000016</v>
      </c>
      <c r="BE271" s="50">
        <f t="shared" si="983"/>
        <v>-352.38000000000011</v>
      </c>
      <c r="BF271" s="50">
        <f t="shared" si="983"/>
        <v>609.51</v>
      </c>
      <c r="BG271" s="133">
        <f t="shared" si="983"/>
        <v>636.53</v>
      </c>
      <c r="BH271" s="133">
        <f t="shared" si="983"/>
        <v>202.32</v>
      </c>
      <c r="BI271" s="133">
        <f t="shared" si="983"/>
        <v>450</v>
      </c>
      <c r="BJ271" s="133">
        <f t="shared" si="983"/>
        <v>0</v>
      </c>
      <c r="BK271" s="133">
        <f t="shared" si="983"/>
        <v>0</v>
      </c>
      <c r="BL271" s="133">
        <f t="shared" si="983"/>
        <v>3454.7799999999997</v>
      </c>
      <c r="BM271" s="133">
        <f t="shared" si="983"/>
        <v>3280.25</v>
      </c>
      <c r="BN271" s="133">
        <f t="shared" si="983"/>
        <v>6735.03</v>
      </c>
      <c r="BO271" s="133">
        <f t="shared" si="983"/>
        <v>3370.93</v>
      </c>
      <c r="BP271" s="133">
        <f t="shared" si="983"/>
        <v>3513.85</v>
      </c>
      <c r="BQ271" s="50">
        <f t="shared" si="983"/>
        <v>83.850000000000023</v>
      </c>
      <c r="BR271" s="50">
        <f t="shared" si="983"/>
        <v>-233.59999999999991</v>
      </c>
      <c r="BS271" s="50">
        <f t="shared" si="983"/>
        <v>306.45000000000005</v>
      </c>
      <c r="BT271" s="50">
        <f t="shared" si="983"/>
        <v>319.44</v>
      </c>
      <c r="BU271" s="50">
        <f t="shared" si="983"/>
        <v>233.17</v>
      </c>
      <c r="BV271" s="50">
        <f t="shared" si="983"/>
        <v>553.04</v>
      </c>
      <c r="BW271" s="50">
        <f t="shared" si="983"/>
        <v>560.92999999999995</v>
      </c>
      <c r="BX271" s="50">
        <f t="shared" si="983"/>
        <v>101.71000000000001</v>
      </c>
      <c r="BY271" s="50">
        <f t="shared" si="983"/>
        <v>0</v>
      </c>
      <c r="BZ271" s="50">
        <f t="shared" si="983"/>
        <v>0</v>
      </c>
      <c r="CA271" s="50">
        <f t="shared" si="983"/>
        <v>4248.88</v>
      </c>
      <c r="CB271" s="50">
        <f t="shared" si="983"/>
        <v>3935</v>
      </c>
    </row>
    <row r="272" spans="1:80" ht="18" x14ac:dyDescent="0.3">
      <c r="A272" s="13">
        <v>1</v>
      </c>
      <c r="B272" s="13"/>
      <c r="C272" s="14"/>
      <c r="D272" s="15" t="s">
        <v>446</v>
      </c>
      <c r="E272" s="16"/>
      <c r="F272" s="82">
        <v>8182.66</v>
      </c>
      <c r="G272" s="82">
        <v>5831.45</v>
      </c>
      <c r="H272" s="82">
        <v>8532.66</v>
      </c>
      <c r="I272" s="17">
        <v>5831.45</v>
      </c>
      <c r="J272" s="107">
        <v>9000</v>
      </c>
      <c r="K272" s="88"/>
      <c r="L272" s="88"/>
      <c r="M272" s="89">
        <f t="shared" si="977"/>
        <v>9000</v>
      </c>
      <c r="N272" s="88"/>
      <c r="O272" s="88"/>
      <c r="P272" s="88"/>
      <c r="Q272" s="89">
        <f t="shared" ref="Q272" si="984">+P272+O272+N272</f>
        <v>0</v>
      </c>
      <c r="R272" s="89">
        <f t="shared" si="940"/>
        <v>9000</v>
      </c>
      <c r="S272" s="88">
        <v>6200</v>
      </c>
      <c r="V272" s="17">
        <v>9018.7099999999991</v>
      </c>
      <c r="W272" s="17">
        <f>ROUND(I272*1.0327,2)+3.81</f>
        <v>6025.9500000000007</v>
      </c>
      <c r="X272" s="110">
        <f t="shared" si="910"/>
        <v>-18.709999999999127</v>
      </c>
      <c r="Y272" s="110">
        <f t="shared" si="911"/>
        <v>174.04999999999927</v>
      </c>
      <c r="Z272" s="110">
        <v>9100</v>
      </c>
      <c r="AA272" s="110"/>
      <c r="AB272" s="110">
        <f t="shared" si="912"/>
        <v>9100</v>
      </c>
      <c r="AC272" s="111">
        <f t="shared" si="913"/>
        <v>0</v>
      </c>
      <c r="AD272" s="110">
        <v>9100</v>
      </c>
      <c r="AE272" s="110">
        <v>6900</v>
      </c>
      <c r="AF272" s="110">
        <f>ROUND(S272*0.9022,2)+500</f>
        <v>6093.64</v>
      </c>
      <c r="AG272" s="110">
        <v>2250</v>
      </c>
      <c r="AH272" s="110">
        <v>1756</v>
      </c>
      <c r="AI272" s="129">
        <v>750</v>
      </c>
      <c r="AJ272" s="110">
        <v>620</v>
      </c>
      <c r="AM272" s="110">
        <v>2250</v>
      </c>
      <c r="AN272" s="110">
        <v>1710.82</v>
      </c>
      <c r="AQ272" s="110">
        <f t="shared" si="923"/>
        <v>4500</v>
      </c>
      <c r="AR272" s="110">
        <f t="shared" si="924"/>
        <v>3466.8199999999997</v>
      </c>
      <c r="AU272" s="110">
        <f t="shared" si="807"/>
        <v>2275</v>
      </c>
      <c r="AV272" s="110">
        <f t="shared" si="968"/>
        <v>1725</v>
      </c>
      <c r="AW272" s="118"/>
      <c r="AX272" s="146">
        <v>650</v>
      </c>
      <c r="AY272" s="118">
        <f t="shared" si="925"/>
        <v>7525</v>
      </c>
      <c r="AZ272" s="110">
        <f t="shared" si="926"/>
        <v>6461.82</v>
      </c>
      <c r="BA272" s="110">
        <f t="shared" si="927"/>
        <v>13986.82</v>
      </c>
      <c r="BB272" s="142">
        <v>7254.45</v>
      </c>
      <c r="BC272" s="142">
        <v>6674.79</v>
      </c>
      <c r="BD272" s="142">
        <f t="shared" si="928"/>
        <v>270.55000000000018</v>
      </c>
      <c r="BE272" s="142">
        <f t="shared" si="929"/>
        <v>-212.97000000000025</v>
      </c>
      <c r="BF272" s="142">
        <f t="shared" si="930"/>
        <v>1450.89</v>
      </c>
      <c r="BG272" s="142">
        <f t="shared" si="931"/>
        <v>1334.96</v>
      </c>
      <c r="BH272" s="110">
        <v>590.16999999999996</v>
      </c>
      <c r="BI272" s="110">
        <v>773.97</v>
      </c>
      <c r="BJ272" s="110">
        <v>500</v>
      </c>
      <c r="BL272" s="110">
        <f t="shared" si="945"/>
        <v>8615.17</v>
      </c>
      <c r="BM272" s="110">
        <f t="shared" si="953"/>
        <v>7235.79</v>
      </c>
      <c r="BN272" s="110">
        <f t="shared" si="954"/>
        <v>15850.96</v>
      </c>
      <c r="BO272" s="110">
        <v>8033.54</v>
      </c>
      <c r="BP272" s="129">
        <v>8305.66</v>
      </c>
      <c r="BQ272" s="110">
        <f t="shared" si="955"/>
        <v>581.63000000000011</v>
      </c>
      <c r="BR272" s="110">
        <f t="shared" si="956"/>
        <v>-1069.8699999999999</v>
      </c>
      <c r="BS272" s="110">
        <f t="shared" si="957"/>
        <v>730.32</v>
      </c>
      <c r="BT272" s="110">
        <f t="shared" si="958"/>
        <v>755.06</v>
      </c>
      <c r="BU272" s="110">
        <f t="shared" si="974"/>
        <v>148.68999999999994</v>
      </c>
      <c r="BV272" s="110">
        <f>ROUND(BT272-BR272,2)-1824.93</f>
        <v>0</v>
      </c>
      <c r="BW272" s="111">
        <f>100+80+5.55</f>
        <v>185.55</v>
      </c>
      <c r="BZ272" s="110">
        <f>470.02+10.94+318.27</f>
        <v>799.23</v>
      </c>
      <c r="CA272" s="110">
        <f t="shared" si="959"/>
        <v>8949.41</v>
      </c>
      <c r="CB272" s="110">
        <f>+BM272+BV272+BX272+BZ272</f>
        <v>8035.02</v>
      </c>
    </row>
    <row r="273" spans="1:80" ht="18" hidden="1" x14ac:dyDescent="0.3">
      <c r="A273" s="13">
        <v>2</v>
      </c>
      <c r="B273" s="13"/>
      <c r="C273" s="14"/>
      <c r="D273" s="15" t="s">
        <v>447</v>
      </c>
      <c r="E273" s="16"/>
      <c r="F273" s="82">
        <v>0</v>
      </c>
      <c r="G273" s="82">
        <v>0</v>
      </c>
      <c r="H273" s="82">
        <v>0</v>
      </c>
      <c r="I273" s="17">
        <v>0</v>
      </c>
      <c r="J273" s="87"/>
      <c r="K273" s="88"/>
      <c r="L273" s="88"/>
      <c r="M273" s="88"/>
      <c r="N273" s="88"/>
      <c r="O273" s="88"/>
      <c r="P273" s="88"/>
      <c r="Q273" s="88"/>
      <c r="R273" s="88"/>
      <c r="S273" s="88"/>
      <c r="V273" s="17"/>
      <c r="W273" s="17">
        <f t="shared" ref="W273:W285" si="985">+U273+V273</f>
        <v>0</v>
      </c>
      <c r="X273" s="110">
        <f t="shared" si="910"/>
        <v>0</v>
      </c>
      <c r="Y273" s="110">
        <f t="shared" si="911"/>
        <v>0</v>
      </c>
      <c r="Z273" s="110"/>
      <c r="AA273" s="110"/>
      <c r="AB273" s="110">
        <f t="shared" si="912"/>
        <v>0</v>
      </c>
      <c r="AC273" s="111">
        <f t="shared" si="913"/>
        <v>0</v>
      </c>
      <c r="AD273" s="110"/>
      <c r="AE273" s="110"/>
      <c r="AF273" s="110">
        <f t="shared" si="916"/>
        <v>0</v>
      </c>
      <c r="AG273" s="110">
        <f t="shared" si="917"/>
        <v>0</v>
      </c>
      <c r="AH273" s="110">
        <f t="shared" si="918"/>
        <v>0</v>
      </c>
      <c r="AI273" s="129">
        <f t="shared" si="919"/>
        <v>0</v>
      </c>
      <c r="AJ273" s="110">
        <f t="shared" si="920"/>
        <v>0</v>
      </c>
      <c r="AM273" s="110">
        <f t="shared" si="921"/>
        <v>0</v>
      </c>
      <c r="AN273" s="110">
        <f t="shared" si="922"/>
        <v>0</v>
      </c>
      <c r="AQ273" s="110">
        <f t="shared" si="923"/>
        <v>0</v>
      </c>
      <c r="AR273" s="110">
        <f t="shared" si="924"/>
        <v>0</v>
      </c>
      <c r="AU273" s="110">
        <f t="shared" si="807"/>
        <v>0</v>
      </c>
      <c r="AV273" s="110">
        <f t="shared" si="968"/>
        <v>0</v>
      </c>
      <c r="AY273" s="110">
        <f t="shared" si="925"/>
        <v>0</v>
      </c>
      <c r="AZ273" s="110">
        <f t="shared" si="926"/>
        <v>0</v>
      </c>
      <c r="BA273" s="110">
        <f t="shared" si="927"/>
        <v>0</v>
      </c>
      <c r="BD273" s="142">
        <f t="shared" si="928"/>
        <v>0</v>
      </c>
      <c r="BE273" s="142">
        <f t="shared" si="929"/>
        <v>0</v>
      </c>
      <c r="BF273" s="142">
        <f t="shared" si="930"/>
        <v>0</v>
      </c>
      <c r="BG273" s="142">
        <f t="shared" si="931"/>
        <v>0</v>
      </c>
      <c r="BH273" s="110">
        <v>0</v>
      </c>
      <c r="BI273" s="110">
        <v>0</v>
      </c>
      <c r="BL273" s="110">
        <f t="shared" si="945"/>
        <v>0</v>
      </c>
      <c r="BM273" s="110">
        <f t="shared" si="953"/>
        <v>0</v>
      </c>
      <c r="BN273" s="110">
        <f t="shared" si="954"/>
        <v>0</v>
      </c>
      <c r="BP273" s="129"/>
      <c r="BQ273" s="110">
        <f t="shared" si="955"/>
        <v>0</v>
      </c>
      <c r="BR273" s="110">
        <f t="shared" si="956"/>
        <v>0</v>
      </c>
      <c r="BS273" s="110">
        <f t="shared" si="957"/>
        <v>0</v>
      </c>
      <c r="BT273" s="110">
        <f t="shared" si="958"/>
        <v>0</v>
      </c>
      <c r="BU273" s="110">
        <f t="shared" si="974"/>
        <v>0</v>
      </c>
      <c r="BV273" s="110">
        <f t="shared" ref="BV273:BV285" si="986">ROUND(BT273-BR273,2)</f>
        <v>0</v>
      </c>
      <c r="CA273" s="110">
        <f t="shared" si="959"/>
        <v>0</v>
      </c>
      <c r="CB273" s="110">
        <f t="shared" si="960"/>
        <v>0</v>
      </c>
    </row>
    <row r="274" spans="1:80" ht="18" hidden="1" x14ac:dyDescent="0.3">
      <c r="A274" s="13">
        <v>3</v>
      </c>
      <c r="B274" s="13"/>
      <c r="C274" s="14"/>
      <c r="D274" s="15" t="s">
        <v>448</v>
      </c>
      <c r="E274" s="16"/>
      <c r="F274" s="82">
        <v>0</v>
      </c>
      <c r="G274" s="82">
        <v>0</v>
      </c>
      <c r="H274" s="82">
        <v>0</v>
      </c>
      <c r="I274" s="17">
        <v>0</v>
      </c>
      <c r="J274" s="87"/>
      <c r="K274" s="88"/>
      <c r="L274" s="88"/>
      <c r="M274" s="88"/>
      <c r="N274" s="88"/>
      <c r="O274" s="88"/>
      <c r="P274" s="88"/>
      <c r="Q274" s="88"/>
      <c r="R274" s="88"/>
      <c r="S274" s="88"/>
      <c r="V274" s="17"/>
      <c r="W274" s="17">
        <f t="shared" si="985"/>
        <v>0</v>
      </c>
      <c r="X274" s="110">
        <f t="shared" si="910"/>
        <v>0</v>
      </c>
      <c r="Y274" s="110">
        <f t="shared" si="911"/>
        <v>0</v>
      </c>
      <c r="Z274" s="110"/>
      <c r="AA274" s="110"/>
      <c r="AB274" s="110">
        <f t="shared" si="912"/>
        <v>0</v>
      </c>
      <c r="AC274" s="111">
        <f t="shared" si="913"/>
        <v>0</v>
      </c>
      <c r="AD274" s="110"/>
      <c r="AE274" s="110"/>
      <c r="AF274" s="110">
        <f t="shared" si="916"/>
        <v>0</v>
      </c>
      <c r="AG274" s="110">
        <f t="shared" si="917"/>
        <v>0</v>
      </c>
      <c r="AH274" s="110">
        <f t="shared" si="918"/>
        <v>0</v>
      </c>
      <c r="AI274" s="129">
        <f t="shared" si="919"/>
        <v>0</v>
      </c>
      <c r="AJ274" s="110">
        <f t="shared" si="920"/>
        <v>0</v>
      </c>
      <c r="AM274" s="110">
        <f t="shared" si="921"/>
        <v>0</v>
      </c>
      <c r="AN274" s="110">
        <f t="shared" si="922"/>
        <v>0</v>
      </c>
      <c r="AQ274" s="110">
        <f t="shared" si="923"/>
        <v>0</v>
      </c>
      <c r="AR274" s="110">
        <f t="shared" si="924"/>
        <v>0</v>
      </c>
      <c r="AU274" s="110">
        <f t="shared" si="807"/>
        <v>0</v>
      </c>
      <c r="AV274" s="110">
        <f t="shared" si="968"/>
        <v>0</v>
      </c>
      <c r="AY274" s="110">
        <f t="shared" si="925"/>
        <v>0</v>
      </c>
      <c r="AZ274" s="110">
        <f t="shared" si="926"/>
        <v>0</v>
      </c>
      <c r="BA274" s="110">
        <f t="shared" si="927"/>
        <v>0</v>
      </c>
      <c r="BD274" s="142">
        <f t="shared" si="928"/>
        <v>0</v>
      </c>
      <c r="BE274" s="142">
        <f t="shared" si="929"/>
        <v>0</v>
      </c>
      <c r="BF274" s="142">
        <f t="shared" si="930"/>
        <v>0</v>
      </c>
      <c r="BG274" s="142">
        <f t="shared" si="931"/>
        <v>0</v>
      </c>
      <c r="BH274" s="110">
        <v>0</v>
      </c>
      <c r="BI274" s="110">
        <v>0</v>
      </c>
      <c r="BL274" s="110">
        <f t="shared" si="945"/>
        <v>0</v>
      </c>
      <c r="BM274" s="110">
        <f t="shared" si="953"/>
        <v>0</v>
      </c>
      <c r="BN274" s="110">
        <f t="shared" si="954"/>
        <v>0</v>
      </c>
      <c r="BP274" s="129"/>
      <c r="BQ274" s="110">
        <f t="shared" si="955"/>
        <v>0</v>
      </c>
      <c r="BR274" s="110">
        <f t="shared" si="956"/>
        <v>0</v>
      </c>
      <c r="BS274" s="110">
        <f t="shared" si="957"/>
        <v>0</v>
      </c>
      <c r="BT274" s="110">
        <f t="shared" si="958"/>
        <v>0</v>
      </c>
      <c r="BU274" s="110">
        <f t="shared" si="974"/>
        <v>0</v>
      </c>
      <c r="BV274" s="110">
        <f t="shared" si="986"/>
        <v>0</v>
      </c>
      <c r="CA274" s="110">
        <f t="shared" si="959"/>
        <v>0</v>
      </c>
      <c r="CB274" s="110">
        <f t="shared" si="960"/>
        <v>0</v>
      </c>
    </row>
    <row r="275" spans="1:80" ht="18" hidden="1" x14ac:dyDescent="0.3">
      <c r="A275" s="13">
        <v>4</v>
      </c>
      <c r="B275" s="13"/>
      <c r="C275" s="14"/>
      <c r="D275" s="15" t="s">
        <v>449</v>
      </c>
      <c r="E275" s="16"/>
      <c r="F275" s="82">
        <v>0</v>
      </c>
      <c r="G275" s="82">
        <v>0</v>
      </c>
      <c r="H275" s="82">
        <v>0</v>
      </c>
      <c r="I275" s="17">
        <v>0</v>
      </c>
      <c r="J275" s="87"/>
      <c r="K275" s="88"/>
      <c r="L275" s="88"/>
      <c r="M275" s="88"/>
      <c r="N275" s="88"/>
      <c r="O275" s="88"/>
      <c r="P275" s="88"/>
      <c r="Q275" s="88"/>
      <c r="R275" s="88"/>
      <c r="S275" s="88"/>
      <c r="V275" s="17"/>
      <c r="W275" s="17">
        <f t="shared" si="985"/>
        <v>0</v>
      </c>
      <c r="X275" s="110">
        <f t="shared" si="910"/>
        <v>0</v>
      </c>
      <c r="Y275" s="110">
        <f t="shared" si="911"/>
        <v>0</v>
      </c>
      <c r="Z275" s="110"/>
      <c r="AA275" s="110"/>
      <c r="AB275" s="110">
        <f t="shared" si="912"/>
        <v>0</v>
      </c>
      <c r="AC275" s="111">
        <f t="shared" si="913"/>
        <v>0</v>
      </c>
      <c r="AD275" s="110"/>
      <c r="AE275" s="110"/>
      <c r="AF275" s="110">
        <f t="shared" si="916"/>
        <v>0</v>
      </c>
      <c r="AG275" s="110">
        <f t="shared" si="917"/>
        <v>0</v>
      </c>
      <c r="AH275" s="110">
        <f t="shared" si="918"/>
        <v>0</v>
      </c>
      <c r="AI275" s="129">
        <f t="shared" si="919"/>
        <v>0</v>
      </c>
      <c r="AJ275" s="110">
        <f t="shared" si="920"/>
        <v>0</v>
      </c>
      <c r="AM275" s="110">
        <f t="shared" si="921"/>
        <v>0</v>
      </c>
      <c r="AN275" s="110">
        <f t="shared" si="922"/>
        <v>0</v>
      </c>
      <c r="AQ275" s="110">
        <f t="shared" si="923"/>
        <v>0</v>
      </c>
      <c r="AR275" s="110">
        <f t="shared" si="924"/>
        <v>0</v>
      </c>
      <c r="AU275" s="110">
        <f t="shared" si="807"/>
        <v>0</v>
      </c>
      <c r="AV275" s="110">
        <f t="shared" si="968"/>
        <v>0</v>
      </c>
      <c r="AY275" s="110">
        <f t="shared" si="925"/>
        <v>0</v>
      </c>
      <c r="AZ275" s="110">
        <f t="shared" si="926"/>
        <v>0</v>
      </c>
      <c r="BA275" s="110">
        <f t="shared" si="927"/>
        <v>0</v>
      </c>
      <c r="BD275" s="142">
        <f t="shared" si="928"/>
        <v>0</v>
      </c>
      <c r="BE275" s="142">
        <f t="shared" si="929"/>
        <v>0</v>
      </c>
      <c r="BF275" s="142">
        <f t="shared" si="930"/>
        <v>0</v>
      </c>
      <c r="BG275" s="142">
        <f t="shared" si="931"/>
        <v>0</v>
      </c>
      <c r="BH275" s="110">
        <v>0</v>
      </c>
      <c r="BI275" s="110">
        <v>0</v>
      </c>
      <c r="BL275" s="110">
        <f t="shared" si="945"/>
        <v>0</v>
      </c>
      <c r="BM275" s="110">
        <f t="shared" si="953"/>
        <v>0</v>
      </c>
      <c r="BN275" s="110">
        <f t="shared" si="954"/>
        <v>0</v>
      </c>
      <c r="BP275" s="129"/>
      <c r="BQ275" s="110">
        <f t="shared" si="955"/>
        <v>0</v>
      </c>
      <c r="BR275" s="110">
        <f t="shared" si="956"/>
        <v>0</v>
      </c>
      <c r="BS275" s="110">
        <f t="shared" si="957"/>
        <v>0</v>
      </c>
      <c r="BT275" s="110">
        <f t="shared" si="958"/>
        <v>0</v>
      </c>
      <c r="BU275" s="110">
        <f t="shared" si="974"/>
        <v>0</v>
      </c>
      <c r="BV275" s="110">
        <f t="shared" si="986"/>
        <v>0</v>
      </c>
      <c r="CA275" s="110">
        <f t="shared" si="959"/>
        <v>0</v>
      </c>
      <c r="CB275" s="110">
        <f t="shared" si="960"/>
        <v>0</v>
      </c>
    </row>
    <row r="276" spans="1:80" ht="18" hidden="1" x14ac:dyDescent="0.3">
      <c r="A276" s="13">
        <v>5</v>
      </c>
      <c r="B276" s="13"/>
      <c r="C276" s="14"/>
      <c r="D276" s="15" t="s">
        <v>450</v>
      </c>
      <c r="E276" s="16"/>
      <c r="F276" s="82">
        <v>0</v>
      </c>
      <c r="G276" s="82">
        <v>0</v>
      </c>
      <c r="H276" s="82">
        <v>0</v>
      </c>
      <c r="I276" s="17">
        <v>0</v>
      </c>
      <c r="J276" s="87"/>
      <c r="K276" s="88"/>
      <c r="L276" s="88"/>
      <c r="M276" s="88"/>
      <c r="N276" s="88"/>
      <c r="O276" s="88"/>
      <c r="P276" s="88"/>
      <c r="Q276" s="88"/>
      <c r="R276" s="88"/>
      <c r="S276" s="88"/>
      <c r="V276" s="17"/>
      <c r="W276" s="17">
        <f t="shared" si="985"/>
        <v>0</v>
      </c>
      <c r="X276" s="110">
        <f t="shared" si="910"/>
        <v>0</v>
      </c>
      <c r="Y276" s="110">
        <f t="shared" si="911"/>
        <v>0</v>
      </c>
      <c r="Z276" s="110"/>
      <c r="AA276" s="110"/>
      <c r="AB276" s="110">
        <f t="shared" si="912"/>
        <v>0</v>
      </c>
      <c r="AC276" s="111">
        <f t="shared" si="913"/>
        <v>0</v>
      </c>
      <c r="AD276" s="110"/>
      <c r="AE276" s="110"/>
      <c r="AF276" s="110">
        <f t="shared" si="916"/>
        <v>0</v>
      </c>
      <c r="AG276" s="110">
        <f t="shared" si="917"/>
        <v>0</v>
      </c>
      <c r="AH276" s="110">
        <f t="shared" si="918"/>
        <v>0</v>
      </c>
      <c r="AI276" s="129">
        <f t="shared" si="919"/>
        <v>0</v>
      </c>
      <c r="AJ276" s="110">
        <f t="shared" si="920"/>
        <v>0</v>
      </c>
      <c r="AM276" s="110">
        <f t="shared" si="921"/>
        <v>0</v>
      </c>
      <c r="AN276" s="110">
        <f t="shared" si="922"/>
        <v>0</v>
      </c>
      <c r="AQ276" s="110">
        <f t="shared" si="923"/>
        <v>0</v>
      </c>
      <c r="AR276" s="110">
        <f t="shared" si="924"/>
        <v>0</v>
      </c>
      <c r="AU276" s="110">
        <f t="shared" si="807"/>
        <v>0</v>
      </c>
      <c r="AV276" s="110">
        <f t="shared" si="968"/>
        <v>0</v>
      </c>
      <c r="AY276" s="110">
        <f t="shared" si="925"/>
        <v>0</v>
      </c>
      <c r="AZ276" s="110">
        <f t="shared" si="926"/>
        <v>0</v>
      </c>
      <c r="BA276" s="110">
        <f t="shared" si="927"/>
        <v>0</v>
      </c>
      <c r="BD276" s="142">
        <f t="shared" si="928"/>
        <v>0</v>
      </c>
      <c r="BE276" s="142">
        <f t="shared" si="929"/>
        <v>0</v>
      </c>
      <c r="BF276" s="142">
        <f t="shared" si="930"/>
        <v>0</v>
      </c>
      <c r="BG276" s="142">
        <f t="shared" si="931"/>
        <v>0</v>
      </c>
      <c r="BH276" s="110">
        <v>0</v>
      </c>
      <c r="BI276" s="110">
        <v>0</v>
      </c>
      <c r="BL276" s="110">
        <f t="shared" si="945"/>
        <v>0</v>
      </c>
      <c r="BM276" s="110">
        <f t="shared" si="953"/>
        <v>0</v>
      </c>
      <c r="BN276" s="110">
        <f t="shared" si="954"/>
        <v>0</v>
      </c>
      <c r="BP276" s="129"/>
      <c r="BQ276" s="110">
        <f t="shared" si="955"/>
        <v>0</v>
      </c>
      <c r="BR276" s="110">
        <f t="shared" si="956"/>
        <v>0</v>
      </c>
      <c r="BS276" s="110">
        <f t="shared" si="957"/>
        <v>0</v>
      </c>
      <c r="BT276" s="110">
        <f t="shared" si="958"/>
        <v>0</v>
      </c>
      <c r="BU276" s="110">
        <f t="shared" si="974"/>
        <v>0</v>
      </c>
      <c r="BV276" s="110">
        <f t="shared" si="986"/>
        <v>0</v>
      </c>
      <c r="CA276" s="110">
        <f t="shared" si="959"/>
        <v>0</v>
      </c>
      <c r="CB276" s="110">
        <f t="shared" si="960"/>
        <v>0</v>
      </c>
    </row>
    <row r="277" spans="1:80" ht="18" hidden="1" x14ac:dyDescent="0.3">
      <c r="A277" s="13">
        <v>6</v>
      </c>
      <c r="B277" s="13"/>
      <c r="C277" s="14"/>
      <c r="D277" s="15" t="s">
        <v>451</v>
      </c>
      <c r="E277" s="16"/>
      <c r="F277" s="82">
        <v>0</v>
      </c>
      <c r="G277" s="82">
        <v>0</v>
      </c>
      <c r="H277" s="82">
        <v>0</v>
      </c>
      <c r="I277" s="17">
        <v>0</v>
      </c>
      <c r="J277" s="87"/>
      <c r="K277" s="88"/>
      <c r="L277" s="88"/>
      <c r="M277" s="88"/>
      <c r="N277" s="88"/>
      <c r="O277" s="88"/>
      <c r="P277" s="88"/>
      <c r="Q277" s="88"/>
      <c r="R277" s="88"/>
      <c r="S277" s="88"/>
      <c r="V277" s="17"/>
      <c r="W277" s="17">
        <f t="shared" si="985"/>
        <v>0</v>
      </c>
      <c r="X277" s="110">
        <f t="shared" si="910"/>
        <v>0</v>
      </c>
      <c r="Y277" s="110">
        <f t="shared" si="911"/>
        <v>0</v>
      </c>
      <c r="Z277" s="110"/>
      <c r="AA277" s="110"/>
      <c r="AB277" s="110">
        <f t="shared" si="912"/>
        <v>0</v>
      </c>
      <c r="AC277" s="111">
        <f t="shared" si="913"/>
        <v>0</v>
      </c>
      <c r="AD277" s="110"/>
      <c r="AE277" s="110"/>
      <c r="AF277" s="110">
        <f t="shared" si="916"/>
        <v>0</v>
      </c>
      <c r="AG277" s="110">
        <f t="shared" si="917"/>
        <v>0</v>
      </c>
      <c r="AH277" s="110">
        <f t="shared" si="918"/>
        <v>0</v>
      </c>
      <c r="AI277" s="129">
        <f t="shared" si="919"/>
        <v>0</v>
      </c>
      <c r="AJ277" s="110">
        <f t="shared" si="920"/>
        <v>0</v>
      </c>
      <c r="AM277" s="110">
        <f t="shared" si="921"/>
        <v>0</v>
      </c>
      <c r="AN277" s="110">
        <f t="shared" si="922"/>
        <v>0</v>
      </c>
      <c r="AQ277" s="110">
        <f t="shared" si="923"/>
        <v>0</v>
      </c>
      <c r="AR277" s="110">
        <f t="shared" si="924"/>
        <v>0</v>
      </c>
      <c r="AU277" s="110">
        <f t="shared" si="807"/>
        <v>0</v>
      </c>
      <c r="AV277" s="110">
        <f t="shared" si="968"/>
        <v>0</v>
      </c>
      <c r="AY277" s="110">
        <f t="shared" si="925"/>
        <v>0</v>
      </c>
      <c r="AZ277" s="110">
        <f t="shared" si="926"/>
        <v>0</v>
      </c>
      <c r="BA277" s="110">
        <f t="shared" si="927"/>
        <v>0</v>
      </c>
      <c r="BD277" s="142">
        <f t="shared" si="928"/>
        <v>0</v>
      </c>
      <c r="BE277" s="142">
        <f t="shared" si="929"/>
        <v>0</v>
      </c>
      <c r="BF277" s="142">
        <f t="shared" si="930"/>
        <v>0</v>
      </c>
      <c r="BG277" s="142">
        <f t="shared" si="931"/>
        <v>0</v>
      </c>
      <c r="BH277" s="110">
        <v>0</v>
      </c>
      <c r="BI277" s="110">
        <v>0</v>
      </c>
      <c r="BL277" s="110">
        <f t="shared" si="945"/>
        <v>0</v>
      </c>
      <c r="BM277" s="110">
        <f t="shared" si="953"/>
        <v>0</v>
      </c>
      <c r="BN277" s="110">
        <f t="shared" si="954"/>
        <v>0</v>
      </c>
      <c r="BP277" s="129"/>
      <c r="BQ277" s="110">
        <f t="shared" si="955"/>
        <v>0</v>
      </c>
      <c r="BR277" s="110">
        <f t="shared" si="956"/>
        <v>0</v>
      </c>
      <c r="BS277" s="110">
        <f t="shared" si="957"/>
        <v>0</v>
      </c>
      <c r="BT277" s="110">
        <f t="shared" si="958"/>
        <v>0</v>
      </c>
      <c r="BU277" s="110">
        <f t="shared" si="974"/>
        <v>0</v>
      </c>
      <c r="BV277" s="110">
        <f t="shared" si="986"/>
        <v>0</v>
      </c>
      <c r="CA277" s="110">
        <f t="shared" si="959"/>
        <v>0</v>
      </c>
      <c r="CB277" s="110">
        <f t="shared" si="960"/>
        <v>0</v>
      </c>
    </row>
    <row r="278" spans="1:80" ht="18" hidden="1" x14ac:dyDescent="0.3">
      <c r="A278" s="13">
        <v>7</v>
      </c>
      <c r="B278" s="13"/>
      <c r="C278" s="14"/>
      <c r="D278" s="15" t="s">
        <v>452</v>
      </c>
      <c r="E278" s="16"/>
      <c r="F278" s="82">
        <v>0</v>
      </c>
      <c r="G278" s="82">
        <v>0</v>
      </c>
      <c r="H278" s="82">
        <v>0</v>
      </c>
      <c r="I278" s="17">
        <v>0</v>
      </c>
      <c r="J278" s="87"/>
      <c r="K278" s="88"/>
      <c r="L278" s="88"/>
      <c r="M278" s="88"/>
      <c r="N278" s="88"/>
      <c r="O278" s="88"/>
      <c r="P278" s="88"/>
      <c r="Q278" s="88"/>
      <c r="R278" s="88"/>
      <c r="S278" s="88"/>
      <c r="V278" s="17"/>
      <c r="W278" s="17">
        <f t="shared" si="985"/>
        <v>0</v>
      </c>
      <c r="X278" s="110">
        <f t="shared" si="910"/>
        <v>0</v>
      </c>
      <c r="Y278" s="110">
        <f t="shared" si="911"/>
        <v>0</v>
      </c>
      <c r="Z278" s="110"/>
      <c r="AA278" s="110"/>
      <c r="AB278" s="110">
        <f t="shared" si="912"/>
        <v>0</v>
      </c>
      <c r="AC278" s="111">
        <f t="shared" si="913"/>
        <v>0</v>
      </c>
      <c r="AD278" s="110"/>
      <c r="AE278" s="110"/>
      <c r="AF278" s="110">
        <f t="shared" si="916"/>
        <v>0</v>
      </c>
      <c r="AG278" s="110">
        <f t="shared" si="917"/>
        <v>0</v>
      </c>
      <c r="AH278" s="110">
        <f t="shared" si="918"/>
        <v>0</v>
      </c>
      <c r="AI278" s="129">
        <f t="shared" si="919"/>
        <v>0</v>
      </c>
      <c r="AJ278" s="110">
        <f t="shared" si="920"/>
        <v>0</v>
      </c>
      <c r="AM278" s="110">
        <f t="shared" si="921"/>
        <v>0</v>
      </c>
      <c r="AN278" s="110">
        <f t="shared" si="922"/>
        <v>0</v>
      </c>
      <c r="AQ278" s="110">
        <f t="shared" si="923"/>
        <v>0</v>
      </c>
      <c r="AR278" s="110">
        <f t="shared" si="924"/>
        <v>0</v>
      </c>
      <c r="AU278" s="110">
        <f t="shared" si="807"/>
        <v>0</v>
      </c>
      <c r="AV278" s="110">
        <f t="shared" si="968"/>
        <v>0</v>
      </c>
      <c r="AY278" s="110">
        <f t="shared" si="925"/>
        <v>0</v>
      </c>
      <c r="AZ278" s="110">
        <f t="shared" si="926"/>
        <v>0</v>
      </c>
      <c r="BA278" s="110">
        <f t="shared" si="927"/>
        <v>0</v>
      </c>
      <c r="BD278" s="142">
        <f t="shared" si="928"/>
        <v>0</v>
      </c>
      <c r="BE278" s="142">
        <f t="shared" si="929"/>
        <v>0</v>
      </c>
      <c r="BF278" s="142">
        <f t="shared" si="930"/>
        <v>0</v>
      </c>
      <c r="BG278" s="142">
        <f t="shared" si="931"/>
        <v>0</v>
      </c>
      <c r="BH278" s="110">
        <v>0</v>
      </c>
      <c r="BI278" s="110">
        <v>0</v>
      </c>
      <c r="BL278" s="110">
        <f t="shared" si="945"/>
        <v>0</v>
      </c>
      <c r="BM278" s="110">
        <f t="shared" si="953"/>
        <v>0</v>
      </c>
      <c r="BN278" s="110">
        <f t="shared" si="954"/>
        <v>0</v>
      </c>
      <c r="BP278" s="129"/>
      <c r="BQ278" s="110">
        <f t="shared" si="955"/>
        <v>0</v>
      </c>
      <c r="BR278" s="110">
        <f t="shared" si="956"/>
        <v>0</v>
      </c>
      <c r="BS278" s="110">
        <f t="shared" si="957"/>
        <v>0</v>
      </c>
      <c r="BT278" s="110">
        <f t="shared" si="958"/>
        <v>0</v>
      </c>
      <c r="BU278" s="110">
        <f t="shared" si="974"/>
        <v>0</v>
      </c>
      <c r="BV278" s="110">
        <f t="shared" si="986"/>
        <v>0</v>
      </c>
      <c r="CA278" s="110">
        <f t="shared" si="959"/>
        <v>0</v>
      </c>
      <c r="CB278" s="110">
        <f t="shared" si="960"/>
        <v>0</v>
      </c>
    </row>
    <row r="279" spans="1:80" ht="18" hidden="1" x14ac:dyDescent="0.3">
      <c r="A279" s="13">
        <v>8</v>
      </c>
      <c r="B279" s="13"/>
      <c r="C279" s="14"/>
      <c r="D279" s="15" t="s">
        <v>453</v>
      </c>
      <c r="E279" s="16"/>
      <c r="F279" s="82">
        <v>0</v>
      </c>
      <c r="G279" s="82">
        <v>0</v>
      </c>
      <c r="H279" s="82">
        <v>0</v>
      </c>
      <c r="I279" s="17">
        <v>0</v>
      </c>
      <c r="J279" s="87"/>
      <c r="K279" s="88"/>
      <c r="L279" s="88"/>
      <c r="M279" s="88"/>
      <c r="N279" s="88"/>
      <c r="O279" s="88"/>
      <c r="P279" s="88"/>
      <c r="Q279" s="88"/>
      <c r="R279" s="88"/>
      <c r="S279" s="88"/>
      <c r="V279" s="17"/>
      <c r="W279" s="17">
        <f t="shared" si="985"/>
        <v>0</v>
      </c>
      <c r="X279" s="110">
        <f t="shared" si="910"/>
        <v>0</v>
      </c>
      <c r="Y279" s="110">
        <f t="shared" si="911"/>
        <v>0</v>
      </c>
      <c r="Z279" s="110"/>
      <c r="AA279" s="110"/>
      <c r="AB279" s="110">
        <f t="shared" si="912"/>
        <v>0</v>
      </c>
      <c r="AC279" s="111">
        <f t="shared" si="913"/>
        <v>0</v>
      </c>
      <c r="AD279" s="110"/>
      <c r="AE279" s="110"/>
      <c r="AF279" s="110">
        <f t="shared" si="916"/>
        <v>0</v>
      </c>
      <c r="AG279" s="110">
        <f t="shared" si="917"/>
        <v>0</v>
      </c>
      <c r="AH279" s="110">
        <f t="shared" si="918"/>
        <v>0</v>
      </c>
      <c r="AI279" s="129">
        <f t="shared" si="919"/>
        <v>0</v>
      </c>
      <c r="AJ279" s="110">
        <f t="shared" si="920"/>
        <v>0</v>
      </c>
      <c r="AM279" s="110">
        <f t="shared" si="921"/>
        <v>0</v>
      </c>
      <c r="AN279" s="110">
        <f t="shared" si="922"/>
        <v>0</v>
      </c>
      <c r="AQ279" s="110">
        <f t="shared" si="923"/>
        <v>0</v>
      </c>
      <c r="AR279" s="110">
        <f t="shared" si="924"/>
        <v>0</v>
      </c>
      <c r="AU279" s="110">
        <f t="shared" si="807"/>
        <v>0</v>
      </c>
      <c r="AV279" s="110">
        <f t="shared" si="968"/>
        <v>0</v>
      </c>
      <c r="AY279" s="110">
        <f t="shared" si="925"/>
        <v>0</v>
      </c>
      <c r="AZ279" s="110">
        <f t="shared" si="926"/>
        <v>0</v>
      </c>
      <c r="BA279" s="110">
        <f t="shared" si="927"/>
        <v>0</v>
      </c>
      <c r="BD279" s="142">
        <f t="shared" si="928"/>
        <v>0</v>
      </c>
      <c r="BE279" s="142">
        <f t="shared" si="929"/>
        <v>0</v>
      </c>
      <c r="BF279" s="142">
        <f t="shared" si="930"/>
        <v>0</v>
      </c>
      <c r="BG279" s="142">
        <f t="shared" si="931"/>
        <v>0</v>
      </c>
      <c r="BH279" s="110">
        <v>0</v>
      </c>
      <c r="BI279" s="110">
        <v>0</v>
      </c>
      <c r="BL279" s="110">
        <f t="shared" si="945"/>
        <v>0</v>
      </c>
      <c r="BM279" s="110">
        <f t="shared" si="953"/>
        <v>0</v>
      </c>
      <c r="BN279" s="110">
        <f t="shared" si="954"/>
        <v>0</v>
      </c>
      <c r="BP279" s="129"/>
      <c r="BQ279" s="110">
        <f t="shared" si="955"/>
        <v>0</v>
      </c>
      <c r="BR279" s="110">
        <f t="shared" si="956"/>
        <v>0</v>
      </c>
      <c r="BS279" s="110">
        <f t="shared" si="957"/>
        <v>0</v>
      </c>
      <c r="BT279" s="110">
        <f t="shared" si="958"/>
        <v>0</v>
      </c>
      <c r="BU279" s="110">
        <f t="shared" si="974"/>
        <v>0</v>
      </c>
      <c r="BV279" s="110">
        <f t="shared" si="986"/>
        <v>0</v>
      </c>
      <c r="CA279" s="110">
        <f t="shared" si="959"/>
        <v>0</v>
      </c>
      <c r="CB279" s="110">
        <f t="shared" si="960"/>
        <v>0</v>
      </c>
    </row>
    <row r="280" spans="1:80" ht="18" hidden="1" x14ac:dyDescent="0.3">
      <c r="A280" s="13">
        <v>9</v>
      </c>
      <c r="B280" s="13"/>
      <c r="C280" s="14"/>
      <c r="D280" s="15" t="s">
        <v>454</v>
      </c>
      <c r="E280" s="16"/>
      <c r="F280" s="82">
        <v>0</v>
      </c>
      <c r="G280" s="82">
        <v>0</v>
      </c>
      <c r="H280" s="82">
        <v>0</v>
      </c>
      <c r="I280" s="17">
        <v>0</v>
      </c>
      <c r="J280" s="87"/>
      <c r="K280" s="88"/>
      <c r="L280" s="88"/>
      <c r="M280" s="88"/>
      <c r="N280" s="88"/>
      <c r="O280" s="88"/>
      <c r="P280" s="88"/>
      <c r="Q280" s="88"/>
      <c r="R280" s="88"/>
      <c r="S280" s="88"/>
      <c r="V280" s="17"/>
      <c r="W280" s="17">
        <f t="shared" si="985"/>
        <v>0</v>
      </c>
      <c r="X280" s="110">
        <f t="shared" si="910"/>
        <v>0</v>
      </c>
      <c r="Y280" s="110">
        <f t="shared" si="911"/>
        <v>0</v>
      </c>
      <c r="Z280" s="110"/>
      <c r="AA280" s="110"/>
      <c r="AB280" s="110">
        <f t="shared" si="912"/>
        <v>0</v>
      </c>
      <c r="AC280" s="111">
        <f t="shared" si="913"/>
        <v>0</v>
      </c>
      <c r="AD280" s="110"/>
      <c r="AE280" s="110"/>
      <c r="AF280" s="110">
        <f t="shared" si="916"/>
        <v>0</v>
      </c>
      <c r="AG280" s="110">
        <f t="shared" si="917"/>
        <v>0</v>
      </c>
      <c r="AH280" s="110">
        <f t="shared" si="918"/>
        <v>0</v>
      </c>
      <c r="AI280" s="129">
        <f t="shared" si="919"/>
        <v>0</v>
      </c>
      <c r="AJ280" s="110">
        <f t="shared" si="920"/>
        <v>0</v>
      </c>
      <c r="AM280" s="110">
        <f t="shared" si="921"/>
        <v>0</v>
      </c>
      <c r="AN280" s="110">
        <f t="shared" si="922"/>
        <v>0</v>
      </c>
      <c r="AQ280" s="110">
        <f t="shared" si="923"/>
        <v>0</v>
      </c>
      <c r="AR280" s="110">
        <f t="shared" si="924"/>
        <v>0</v>
      </c>
      <c r="AU280" s="110">
        <f t="shared" si="807"/>
        <v>0</v>
      </c>
      <c r="AV280" s="110">
        <f t="shared" si="968"/>
        <v>0</v>
      </c>
      <c r="AY280" s="110">
        <f t="shared" si="925"/>
        <v>0</v>
      </c>
      <c r="AZ280" s="110">
        <f t="shared" si="926"/>
        <v>0</v>
      </c>
      <c r="BA280" s="110">
        <f t="shared" si="927"/>
        <v>0</v>
      </c>
      <c r="BD280" s="142">
        <f t="shared" si="928"/>
        <v>0</v>
      </c>
      <c r="BE280" s="142">
        <f t="shared" si="929"/>
        <v>0</v>
      </c>
      <c r="BF280" s="142">
        <f t="shared" si="930"/>
        <v>0</v>
      </c>
      <c r="BG280" s="142">
        <f t="shared" si="931"/>
        <v>0</v>
      </c>
      <c r="BH280" s="110">
        <v>0</v>
      </c>
      <c r="BI280" s="110">
        <v>0</v>
      </c>
      <c r="BL280" s="110">
        <f t="shared" si="945"/>
        <v>0</v>
      </c>
      <c r="BM280" s="110">
        <f t="shared" si="953"/>
        <v>0</v>
      </c>
      <c r="BN280" s="110">
        <f t="shared" si="954"/>
        <v>0</v>
      </c>
      <c r="BP280" s="129"/>
      <c r="BQ280" s="110">
        <f t="shared" si="955"/>
        <v>0</v>
      </c>
      <c r="BR280" s="110">
        <f t="shared" si="956"/>
        <v>0</v>
      </c>
      <c r="BS280" s="110">
        <f t="shared" si="957"/>
        <v>0</v>
      </c>
      <c r="BT280" s="110">
        <f t="shared" si="958"/>
        <v>0</v>
      </c>
      <c r="BU280" s="110">
        <f t="shared" si="974"/>
        <v>0</v>
      </c>
      <c r="BV280" s="110">
        <f t="shared" si="986"/>
        <v>0</v>
      </c>
      <c r="CA280" s="110">
        <f t="shared" si="959"/>
        <v>0</v>
      </c>
      <c r="CB280" s="110">
        <f t="shared" si="960"/>
        <v>0</v>
      </c>
    </row>
    <row r="281" spans="1:80" ht="36" hidden="1" x14ac:dyDescent="0.3">
      <c r="A281" s="13">
        <v>10</v>
      </c>
      <c r="B281" s="13"/>
      <c r="C281" s="14"/>
      <c r="D281" s="15" t="s">
        <v>455</v>
      </c>
      <c r="E281" s="16"/>
      <c r="F281" s="82">
        <v>0</v>
      </c>
      <c r="G281" s="82">
        <v>0</v>
      </c>
      <c r="H281" s="82">
        <v>0</v>
      </c>
      <c r="I281" s="17">
        <v>0</v>
      </c>
      <c r="J281" s="87"/>
      <c r="K281" s="88"/>
      <c r="L281" s="88"/>
      <c r="M281" s="88"/>
      <c r="N281" s="88"/>
      <c r="O281" s="88"/>
      <c r="P281" s="88"/>
      <c r="Q281" s="88"/>
      <c r="R281" s="88"/>
      <c r="S281" s="88"/>
      <c r="V281" s="17"/>
      <c r="W281" s="17">
        <f t="shared" si="985"/>
        <v>0</v>
      </c>
      <c r="X281" s="110">
        <f t="shared" si="910"/>
        <v>0</v>
      </c>
      <c r="Y281" s="110">
        <f t="shared" si="911"/>
        <v>0</v>
      </c>
      <c r="Z281" s="110"/>
      <c r="AA281" s="110"/>
      <c r="AB281" s="110">
        <f t="shared" si="912"/>
        <v>0</v>
      </c>
      <c r="AC281" s="111">
        <f t="shared" si="913"/>
        <v>0</v>
      </c>
      <c r="AD281" s="110"/>
      <c r="AE281" s="110"/>
      <c r="AF281" s="110">
        <f t="shared" si="916"/>
        <v>0</v>
      </c>
      <c r="AG281" s="110">
        <f t="shared" si="917"/>
        <v>0</v>
      </c>
      <c r="AH281" s="110">
        <f t="shared" si="918"/>
        <v>0</v>
      </c>
      <c r="AI281" s="129">
        <f t="shared" si="919"/>
        <v>0</v>
      </c>
      <c r="AJ281" s="110">
        <f t="shared" si="920"/>
        <v>0</v>
      </c>
      <c r="AM281" s="110">
        <f t="shared" si="921"/>
        <v>0</v>
      </c>
      <c r="AN281" s="110">
        <f t="shared" si="922"/>
        <v>0</v>
      </c>
      <c r="AQ281" s="110">
        <f t="shared" si="923"/>
        <v>0</v>
      </c>
      <c r="AR281" s="110">
        <f t="shared" si="924"/>
        <v>0</v>
      </c>
      <c r="AU281" s="110">
        <f t="shared" si="807"/>
        <v>0</v>
      </c>
      <c r="AV281" s="110">
        <f t="shared" si="968"/>
        <v>0</v>
      </c>
      <c r="AY281" s="110">
        <f t="shared" si="925"/>
        <v>0</v>
      </c>
      <c r="AZ281" s="110">
        <f t="shared" si="926"/>
        <v>0</v>
      </c>
      <c r="BA281" s="110">
        <f t="shared" si="927"/>
        <v>0</v>
      </c>
      <c r="BD281" s="142">
        <f t="shared" si="928"/>
        <v>0</v>
      </c>
      <c r="BE281" s="142">
        <f t="shared" si="929"/>
        <v>0</v>
      </c>
      <c r="BF281" s="142">
        <f t="shared" si="930"/>
        <v>0</v>
      </c>
      <c r="BG281" s="142">
        <f t="shared" si="931"/>
        <v>0</v>
      </c>
      <c r="BH281" s="110">
        <v>0</v>
      </c>
      <c r="BI281" s="110">
        <v>0</v>
      </c>
      <c r="BL281" s="110">
        <f t="shared" si="945"/>
        <v>0</v>
      </c>
      <c r="BM281" s="110">
        <f t="shared" si="953"/>
        <v>0</v>
      </c>
      <c r="BN281" s="110">
        <f t="shared" si="954"/>
        <v>0</v>
      </c>
      <c r="BP281" s="129"/>
      <c r="BQ281" s="110">
        <f t="shared" si="955"/>
        <v>0</v>
      </c>
      <c r="BR281" s="110">
        <f t="shared" si="956"/>
        <v>0</v>
      </c>
      <c r="BS281" s="110">
        <f t="shared" si="957"/>
        <v>0</v>
      </c>
      <c r="BT281" s="110">
        <f t="shared" si="958"/>
        <v>0</v>
      </c>
      <c r="BU281" s="110">
        <f t="shared" si="974"/>
        <v>0</v>
      </c>
      <c r="BV281" s="110">
        <f t="shared" si="986"/>
        <v>0</v>
      </c>
      <c r="CA281" s="110">
        <f t="shared" si="959"/>
        <v>0</v>
      </c>
      <c r="CB281" s="110">
        <f t="shared" si="960"/>
        <v>0</v>
      </c>
    </row>
    <row r="282" spans="1:80" ht="18" hidden="1" x14ac:dyDescent="0.3">
      <c r="A282" s="13">
        <v>11</v>
      </c>
      <c r="B282" s="13"/>
      <c r="C282" s="14"/>
      <c r="D282" s="15" t="s">
        <v>456</v>
      </c>
      <c r="E282" s="16"/>
      <c r="F282" s="82">
        <v>0</v>
      </c>
      <c r="G282" s="82">
        <v>0</v>
      </c>
      <c r="H282" s="82">
        <v>0</v>
      </c>
      <c r="I282" s="17">
        <v>0</v>
      </c>
      <c r="J282" s="87"/>
      <c r="K282" s="88"/>
      <c r="L282" s="88"/>
      <c r="M282" s="88"/>
      <c r="N282" s="88"/>
      <c r="O282" s="88"/>
      <c r="P282" s="88"/>
      <c r="Q282" s="88"/>
      <c r="R282" s="88"/>
      <c r="S282" s="88"/>
      <c r="V282" s="17"/>
      <c r="W282" s="17">
        <f t="shared" si="985"/>
        <v>0</v>
      </c>
      <c r="X282" s="110">
        <f t="shared" si="910"/>
        <v>0</v>
      </c>
      <c r="Y282" s="110">
        <f t="shared" si="911"/>
        <v>0</v>
      </c>
      <c r="Z282" s="110"/>
      <c r="AA282" s="110"/>
      <c r="AB282" s="110">
        <f t="shared" si="912"/>
        <v>0</v>
      </c>
      <c r="AC282" s="111">
        <f t="shared" si="913"/>
        <v>0</v>
      </c>
      <c r="AD282" s="110"/>
      <c r="AE282" s="110"/>
      <c r="AF282" s="110">
        <f t="shared" si="916"/>
        <v>0</v>
      </c>
      <c r="AG282" s="110">
        <f t="shared" si="917"/>
        <v>0</v>
      </c>
      <c r="AH282" s="110">
        <f t="shared" si="918"/>
        <v>0</v>
      </c>
      <c r="AI282" s="129">
        <f t="shared" si="919"/>
        <v>0</v>
      </c>
      <c r="AJ282" s="110">
        <f t="shared" si="920"/>
        <v>0</v>
      </c>
      <c r="AM282" s="110">
        <f t="shared" si="921"/>
        <v>0</v>
      </c>
      <c r="AN282" s="110">
        <f t="shared" si="922"/>
        <v>0</v>
      </c>
      <c r="AQ282" s="110">
        <f t="shared" si="923"/>
        <v>0</v>
      </c>
      <c r="AR282" s="110">
        <f t="shared" si="924"/>
        <v>0</v>
      </c>
      <c r="AU282" s="110">
        <f t="shared" si="807"/>
        <v>0</v>
      </c>
      <c r="AV282" s="110">
        <f t="shared" si="968"/>
        <v>0</v>
      </c>
      <c r="AY282" s="110">
        <f t="shared" si="925"/>
        <v>0</v>
      </c>
      <c r="AZ282" s="110">
        <f t="shared" si="926"/>
        <v>0</v>
      </c>
      <c r="BA282" s="110">
        <f t="shared" si="927"/>
        <v>0</v>
      </c>
      <c r="BD282" s="142">
        <f t="shared" si="928"/>
        <v>0</v>
      </c>
      <c r="BE282" s="142">
        <f t="shared" si="929"/>
        <v>0</v>
      </c>
      <c r="BF282" s="142">
        <f t="shared" si="930"/>
        <v>0</v>
      </c>
      <c r="BG282" s="142">
        <f t="shared" si="931"/>
        <v>0</v>
      </c>
      <c r="BH282" s="110">
        <v>0</v>
      </c>
      <c r="BI282" s="110">
        <v>0</v>
      </c>
      <c r="BL282" s="110">
        <f t="shared" si="945"/>
        <v>0</v>
      </c>
      <c r="BM282" s="110">
        <f t="shared" si="953"/>
        <v>0</v>
      </c>
      <c r="BN282" s="110">
        <f t="shared" si="954"/>
        <v>0</v>
      </c>
      <c r="BP282" s="129"/>
      <c r="BQ282" s="110">
        <f t="shared" si="955"/>
        <v>0</v>
      </c>
      <c r="BR282" s="110">
        <f t="shared" si="956"/>
        <v>0</v>
      </c>
      <c r="BS282" s="110">
        <f t="shared" si="957"/>
        <v>0</v>
      </c>
      <c r="BT282" s="110">
        <f t="shared" si="958"/>
        <v>0</v>
      </c>
      <c r="BU282" s="110">
        <f t="shared" si="974"/>
        <v>0</v>
      </c>
      <c r="BV282" s="110">
        <f t="shared" si="986"/>
        <v>0</v>
      </c>
      <c r="CA282" s="110">
        <f t="shared" si="959"/>
        <v>0</v>
      </c>
      <c r="CB282" s="110">
        <f t="shared" si="960"/>
        <v>0</v>
      </c>
    </row>
    <row r="283" spans="1:80" ht="18" hidden="1" x14ac:dyDescent="0.3">
      <c r="A283" s="13"/>
      <c r="B283" s="13"/>
      <c r="C283" s="14"/>
      <c r="D283" s="15" t="s">
        <v>457</v>
      </c>
      <c r="E283" s="16"/>
      <c r="F283" s="82">
        <v>0</v>
      </c>
      <c r="G283" s="82">
        <v>0</v>
      </c>
      <c r="H283" s="82">
        <v>0</v>
      </c>
      <c r="I283" s="17">
        <v>0</v>
      </c>
      <c r="J283" s="87"/>
      <c r="K283" s="88"/>
      <c r="L283" s="88"/>
      <c r="M283" s="88"/>
      <c r="N283" s="88"/>
      <c r="O283" s="88"/>
      <c r="P283" s="88"/>
      <c r="Q283" s="88"/>
      <c r="R283" s="88"/>
      <c r="S283" s="88"/>
      <c r="V283" s="17"/>
      <c r="W283" s="17">
        <f t="shared" si="985"/>
        <v>0</v>
      </c>
      <c r="X283" s="110">
        <f t="shared" si="910"/>
        <v>0</v>
      </c>
      <c r="Y283" s="110">
        <f t="shared" si="911"/>
        <v>0</v>
      </c>
      <c r="Z283" s="110"/>
      <c r="AA283" s="110"/>
      <c r="AB283" s="110">
        <f t="shared" si="912"/>
        <v>0</v>
      </c>
      <c r="AC283" s="111">
        <f t="shared" si="913"/>
        <v>0</v>
      </c>
      <c r="AD283" s="110"/>
      <c r="AE283" s="110"/>
      <c r="AF283" s="110">
        <f t="shared" si="916"/>
        <v>0</v>
      </c>
      <c r="AG283" s="110">
        <f t="shared" si="917"/>
        <v>0</v>
      </c>
      <c r="AH283" s="110">
        <f t="shared" si="918"/>
        <v>0</v>
      </c>
      <c r="AI283" s="129">
        <f t="shared" si="919"/>
        <v>0</v>
      </c>
      <c r="AJ283" s="110">
        <f t="shared" si="920"/>
        <v>0</v>
      </c>
      <c r="AM283" s="110">
        <f t="shared" si="921"/>
        <v>0</v>
      </c>
      <c r="AN283" s="110">
        <f t="shared" si="922"/>
        <v>0</v>
      </c>
      <c r="AQ283" s="110">
        <f t="shared" si="923"/>
        <v>0</v>
      </c>
      <c r="AR283" s="110">
        <f t="shared" si="924"/>
        <v>0</v>
      </c>
      <c r="AU283" s="110">
        <f t="shared" ref="AU283:AU285" si="987">ROUND(AD283*25%,2)</f>
        <v>0</v>
      </c>
      <c r="AV283" s="110">
        <f t="shared" si="968"/>
        <v>0</v>
      </c>
      <c r="AY283" s="110">
        <f t="shared" si="925"/>
        <v>0</v>
      </c>
      <c r="AZ283" s="110">
        <f t="shared" si="926"/>
        <v>0</v>
      </c>
      <c r="BA283" s="110">
        <f t="shared" si="927"/>
        <v>0</v>
      </c>
      <c r="BD283" s="142">
        <f t="shared" si="928"/>
        <v>0</v>
      </c>
      <c r="BE283" s="142">
        <f t="shared" si="929"/>
        <v>0</v>
      </c>
      <c r="BF283" s="142">
        <f t="shared" si="930"/>
        <v>0</v>
      </c>
      <c r="BG283" s="142">
        <f t="shared" si="931"/>
        <v>0</v>
      </c>
      <c r="BH283" s="110">
        <v>0</v>
      </c>
      <c r="BI283" s="110">
        <v>0</v>
      </c>
      <c r="BL283" s="110">
        <f t="shared" si="945"/>
        <v>0</v>
      </c>
      <c r="BM283" s="110">
        <f t="shared" si="953"/>
        <v>0</v>
      </c>
      <c r="BN283" s="110">
        <f t="shared" si="954"/>
        <v>0</v>
      </c>
      <c r="BP283" s="129"/>
      <c r="BQ283" s="110">
        <f t="shared" si="955"/>
        <v>0</v>
      </c>
      <c r="BR283" s="110">
        <f t="shared" si="956"/>
        <v>0</v>
      </c>
      <c r="BS283" s="110">
        <f t="shared" si="957"/>
        <v>0</v>
      </c>
      <c r="BT283" s="110">
        <f t="shared" si="958"/>
        <v>0</v>
      </c>
      <c r="BU283" s="110">
        <f t="shared" si="974"/>
        <v>0</v>
      </c>
      <c r="BV283" s="110">
        <f t="shared" si="986"/>
        <v>0</v>
      </c>
      <c r="CA283" s="110">
        <f t="shared" si="959"/>
        <v>0</v>
      </c>
      <c r="CB283" s="110">
        <f t="shared" si="960"/>
        <v>0</v>
      </c>
    </row>
    <row r="284" spans="1:80" ht="18" hidden="1" x14ac:dyDescent="0.3">
      <c r="A284" s="13"/>
      <c r="B284" s="13"/>
      <c r="C284" s="14"/>
      <c r="D284" s="15" t="s">
        <v>458</v>
      </c>
      <c r="E284" s="16"/>
      <c r="F284" s="82">
        <v>0</v>
      </c>
      <c r="G284" s="82">
        <v>0</v>
      </c>
      <c r="H284" s="82">
        <v>0</v>
      </c>
      <c r="I284" s="17">
        <v>0</v>
      </c>
      <c r="J284" s="87"/>
      <c r="K284" s="88"/>
      <c r="L284" s="88"/>
      <c r="M284" s="88"/>
      <c r="N284" s="88"/>
      <c r="O284" s="88"/>
      <c r="P284" s="88"/>
      <c r="Q284" s="88"/>
      <c r="R284" s="88"/>
      <c r="S284" s="88"/>
      <c r="V284" s="17"/>
      <c r="W284" s="17">
        <f t="shared" si="985"/>
        <v>0</v>
      </c>
      <c r="X284" s="110">
        <f t="shared" si="910"/>
        <v>0</v>
      </c>
      <c r="Y284" s="110">
        <f t="shared" si="911"/>
        <v>0</v>
      </c>
      <c r="Z284" s="110"/>
      <c r="AA284" s="110"/>
      <c r="AB284" s="110">
        <f t="shared" si="912"/>
        <v>0</v>
      </c>
      <c r="AC284" s="111">
        <f t="shared" si="913"/>
        <v>0</v>
      </c>
      <c r="AD284" s="110"/>
      <c r="AE284" s="110"/>
      <c r="AF284" s="110">
        <f t="shared" si="916"/>
        <v>0</v>
      </c>
      <c r="AG284" s="110">
        <f t="shared" si="917"/>
        <v>0</v>
      </c>
      <c r="AH284" s="110">
        <f t="shared" si="918"/>
        <v>0</v>
      </c>
      <c r="AI284" s="129">
        <f t="shared" si="919"/>
        <v>0</v>
      </c>
      <c r="AJ284" s="110">
        <f t="shared" si="920"/>
        <v>0</v>
      </c>
      <c r="AM284" s="110">
        <f t="shared" si="921"/>
        <v>0</v>
      </c>
      <c r="AN284" s="110">
        <f t="shared" si="922"/>
        <v>0</v>
      </c>
      <c r="AQ284" s="110">
        <f t="shared" si="923"/>
        <v>0</v>
      </c>
      <c r="AR284" s="110">
        <f t="shared" si="924"/>
        <v>0</v>
      </c>
      <c r="AU284" s="110">
        <f t="shared" si="987"/>
        <v>0</v>
      </c>
      <c r="AV284" s="110">
        <f t="shared" si="968"/>
        <v>0</v>
      </c>
      <c r="AY284" s="110">
        <f t="shared" si="925"/>
        <v>0</v>
      </c>
      <c r="AZ284" s="110">
        <f t="shared" si="926"/>
        <v>0</v>
      </c>
      <c r="BA284" s="110">
        <f t="shared" si="927"/>
        <v>0</v>
      </c>
      <c r="BD284" s="142">
        <f t="shared" si="928"/>
        <v>0</v>
      </c>
      <c r="BE284" s="142">
        <f t="shared" si="929"/>
        <v>0</v>
      </c>
      <c r="BF284" s="142">
        <f t="shared" si="930"/>
        <v>0</v>
      </c>
      <c r="BG284" s="142">
        <f t="shared" si="931"/>
        <v>0</v>
      </c>
      <c r="BH284" s="110">
        <v>0</v>
      </c>
      <c r="BI284" s="110">
        <v>0</v>
      </c>
      <c r="BL284" s="110">
        <f t="shared" si="945"/>
        <v>0</v>
      </c>
      <c r="BM284" s="110">
        <f t="shared" si="953"/>
        <v>0</v>
      </c>
      <c r="BN284" s="110">
        <f t="shared" si="954"/>
        <v>0</v>
      </c>
      <c r="BP284" s="129"/>
      <c r="BQ284" s="110">
        <f t="shared" si="955"/>
        <v>0</v>
      </c>
      <c r="BR284" s="110">
        <f t="shared" si="956"/>
        <v>0</v>
      </c>
      <c r="BS284" s="110">
        <f t="shared" si="957"/>
        <v>0</v>
      </c>
      <c r="BT284" s="110">
        <f t="shared" si="958"/>
        <v>0</v>
      </c>
      <c r="BU284" s="110">
        <f t="shared" si="974"/>
        <v>0</v>
      </c>
      <c r="BV284" s="110">
        <f t="shared" si="986"/>
        <v>0</v>
      </c>
      <c r="CA284" s="110">
        <f t="shared" si="959"/>
        <v>0</v>
      </c>
      <c r="CB284" s="110">
        <f t="shared" si="960"/>
        <v>0</v>
      </c>
    </row>
    <row r="285" spans="1:80" ht="18" hidden="1" x14ac:dyDescent="0.3">
      <c r="A285" s="13"/>
      <c r="B285" s="13"/>
      <c r="C285" s="14"/>
      <c r="D285" s="15" t="s">
        <v>459</v>
      </c>
      <c r="E285" s="16"/>
      <c r="F285" s="82">
        <v>0</v>
      </c>
      <c r="G285" s="82">
        <v>0</v>
      </c>
      <c r="H285" s="82">
        <v>0</v>
      </c>
      <c r="I285" s="17">
        <v>0</v>
      </c>
      <c r="J285" s="87"/>
      <c r="K285" s="88"/>
      <c r="L285" s="88"/>
      <c r="M285" s="88"/>
      <c r="N285" s="88"/>
      <c r="O285" s="88"/>
      <c r="P285" s="88"/>
      <c r="Q285" s="88"/>
      <c r="R285" s="88"/>
      <c r="S285" s="88"/>
      <c r="V285" s="17"/>
      <c r="W285" s="17">
        <f t="shared" si="985"/>
        <v>0</v>
      </c>
      <c r="X285" s="110">
        <f t="shared" si="910"/>
        <v>0</v>
      </c>
      <c r="Y285" s="110">
        <f t="shared" si="911"/>
        <v>0</v>
      </c>
      <c r="Z285" s="110"/>
      <c r="AA285" s="110"/>
      <c r="AB285" s="110">
        <f t="shared" si="912"/>
        <v>0</v>
      </c>
      <c r="AC285" s="111">
        <f t="shared" si="913"/>
        <v>0</v>
      </c>
      <c r="AD285" s="110"/>
      <c r="AE285" s="110"/>
      <c r="AF285" s="110">
        <f t="shared" si="916"/>
        <v>0</v>
      </c>
      <c r="AG285" s="110">
        <f t="shared" si="917"/>
        <v>0</v>
      </c>
      <c r="AH285" s="110">
        <f t="shared" si="918"/>
        <v>0</v>
      </c>
      <c r="AI285" s="129">
        <f t="shared" si="919"/>
        <v>0</v>
      </c>
      <c r="AJ285" s="110">
        <f t="shared" si="920"/>
        <v>0</v>
      </c>
      <c r="AM285" s="110">
        <f t="shared" si="921"/>
        <v>0</v>
      </c>
      <c r="AN285" s="110">
        <f t="shared" si="922"/>
        <v>0</v>
      </c>
      <c r="AQ285" s="110">
        <f t="shared" si="923"/>
        <v>0</v>
      </c>
      <c r="AR285" s="110">
        <f t="shared" si="924"/>
        <v>0</v>
      </c>
      <c r="AU285" s="110">
        <f t="shared" si="987"/>
        <v>0</v>
      </c>
      <c r="AV285" s="110">
        <f t="shared" si="968"/>
        <v>0</v>
      </c>
      <c r="AY285" s="110">
        <f t="shared" si="925"/>
        <v>0</v>
      </c>
      <c r="AZ285" s="110">
        <f t="shared" si="926"/>
        <v>0</v>
      </c>
      <c r="BA285" s="110">
        <f t="shared" si="927"/>
        <v>0</v>
      </c>
      <c r="BD285" s="142">
        <f t="shared" si="928"/>
        <v>0</v>
      </c>
      <c r="BE285" s="142">
        <f t="shared" si="929"/>
        <v>0</v>
      </c>
      <c r="BF285" s="142">
        <f t="shared" si="930"/>
        <v>0</v>
      </c>
      <c r="BG285" s="142">
        <f t="shared" si="931"/>
        <v>0</v>
      </c>
      <c r="BH285" s="110">
        <v>0</v>
      </c>
      <c r="BI285" s="110">
        <v>0</v>
      </c>
      <c r="BL285" s="110">
        <f t="shared" si="945"/>
        <v>0</v>
      </c>
      <c r="BM285" s="110">
        <f t="shared" si="953"/>
        <v>0</v>
      </c>
      <c r="BN285" s="110">
        <f t="shared" si="954"/>
        <v>0</v>
      </c>
      <c r="BP285" s="129"/>
      <c r="BQ285" s="110">
        <f t="shared" si="955"/>
        <v>0</v>
      </c>
      <c r="BR285" s="110">
        <f t="shared" si="956"/>
        <v>0</v>
      </c>
      <c r="BS285" s="110">
        <f t="shared" si="957"/>
        <v>0</v>
      </c>
      <c r="BT285" s="110">
        <f t="shared" si="958"/>
        <v>0</v>
      </c>
      <c r="BU285" s="110">
        <f t="shared" si="974"/>
        <v>0</v>
      </c>
      <c r="BV285" s="110">
        <f t="shared" si="986"/>
        <v>0</v>
      </c>
      <c r="CA285" s="110">
        <f t="shared" si="959"/>
        <v>0</v>
      </c>
      <c r="CB285" s="110">
        <f t="shared" si="960"/>
        <v>0</v>
      </c>
    </row>
    <row r="286" spans="1:80" ht="18" x14ac:dyDescent="0.3">
      <c r="A286" s="18"/>
      <c r="B286" s="18" t="s">
        <v>460</v>
      </c>
      <c r="C286" s="19" t="s">
        <v>40</v>
      </c>
      <c r="D286" s="20" t="s">
        <v>446</v>
      </c>
      <c r="E286" s="21" t="s">
        <v>461</v>
      </c>
      <c r="F286" s="67">
        <v>8182.66</v>
      </c>
      <c r="G286" s="67">
        <v>5831.45</v>
      </c>
      <c r="H286" s="67">
        <v>8532.66</v>
      </c>
      <c r="I286" s="67">
        <v>5831.45</v>
      </c>
      <c r="J286" s="100">
        <f t="shared" ref="J286:AA286" si="988">J285+J284+J283+J282+J281+J280+J278+J279+J277+J276+J275+J274+J273+J272</f>
        <v>9000</v>
      </c>
      <c r="K286" s="100">
        <f t="shared" si="988"/>
        <v>0</v>
      </c>
      <c r="L286" s="100">
        <f t="shared" si="988"/>
        <v>0</v>
      </c>
      <c r="M286" s="100">
        <f t="shared" si="988"/>
        <v>9000</v>
      </c>
      <c r="N286" s="100">
        <f t="shared" si="988"/>
        <v>0</v>
      </c>
      <c r="O286" s="100">
        <f t="shared" si="988"/>
        <v>0</v>
      </c>
      <c r="P286" s="100">
        <f t="shared" si="988"/>
        <v>0</v>
      </c>
      <c r="Q286" s="100">
        <f t="shared" si="988"/>
        <v>0</v>
      </c>
      <c r="R286" s="100">
        <f t="shared" si="988"/>
        <v>9000</v>
      </c>
      <c r="S286" s="100">
        <f t="shared" si="988"/>
        <v>6200</v>
      </c>
      <c r="T286" s="100">
        <f t="shared" si="988"/>
        <v>0</v>
      </c>
      <c r="U286" s="100">
        <f t="shared" si="988"/>
        <v>0</v>
      </c>
      <c r="V286" s="100">
        <f t="shared" si="988"/>
        <v>9018.7099999999991</v>
      </c>
      <c r="W286" s="100">
        <f t="shared" si="988"/>
        <v>6025.9500000000007</v>
      </c>
      <c r="X286" s="100">
        <f t="shared" si="988"/>
        <v>-18.709999999999127</v>
      </c>
      <c r="Y286" s="100">
        <f t="shared" si="988"/>
        <v>174.04999999999927</v>
      </c>
      <c r="Z286" s="100">
        <f t="shared" si="988"/>
        <v>9100</v>
      </c>
      <c r="AA286" s="100">
        <f t="shared" si="988"/>
        <v>0</v>
      </c>
      <c r="AB286" s="67">
        <f t="shared" si="912"/>
        <v>9100</v>
      </c>
      <c r="AC286" s="111">
        <f t="shared" si="913"/>
        <v>0</v>
      </c>
      <c r="AD286" s="67">
        <f t="shared" ref="AD286:CB286" si="989">+AD272</f>
        <v>9100</v>
      </c>
      <c r="AE286" s="67">
        <f t="shared" si="989"/>
        <v>6900</v>
      </c>
      <c r="AF286" s="67">
        <f t="shared" si="989"/>
        <v>6093.64</v>
      </c>
      <c r="AG286" s="67">
        <f t="shared" si="989"/>
        <v>2250</v>
      </c>
      <c r="AH286" s="67">
        <f t="shared" si="989"/>
        <v>1756</v>
      </c>
      <c r="AI286" s="137">
        <f t="shared" si="989"/>
        <v>750</v>
      </c>
      <c r="AJ286" s="67">
        <f t="shared" si="989"/>
        <v>620</v>
      </c>
      <c r="AK286" s="67">
        <f t="shared" si="989"/>
        <v>0</v>
      </c>
      <c r="AL286" s="67">
        <f t="shared" si="989"/>
        <v>0</v>
      </c>
      <c r="AM286" s="67">
        <f t="shared" si="989"/>
        <v>2250</v>
      </c>
      <c r="AN286" s="67">
        <f t="shared" si="989"/>
        <v>1710.82</v>
      </c>
      <c r="AO286" s="67">
        <f t="shared" si="989"/>
        <v>0</v>
      </c>
      <c r="AP286" s="67">
        <f t="shared" si="989"/>
        <v>0</v>
      </c>
      <c r="AQ286" s="67">
        <f t="shared" si="989"/>
        <v>4500</v>
      </c>
      <c r="AR286" s="67">
        <f t="shared" si="989"/>
        <v>3466.8199999999997</v>
      </c>
      <c r="AS286" s="67">
        <f t="shared" si="989"/>
        <v>0</v>
      </c>
      <c r="AT286" s="67">
        <f t="shared" si="989"/>
        <v>0</v>
      </c>
      <c r="AU286" s="67">
        <f t="shared" si="989"/>
        <v>2275</v>
      </c>
      <c r="AV286" s="67">
        <f t="shared" si="989"/>
        <v>1725</v>
      </c>
      <c r="AW286" s="67">
        <f t="shared" si="989"/>
        <v>0</v>
      </c>
      <c r="AX286" s="67">
        <f t="shared" si="989"/>
        <v>650</v>
      </c>
      <c r="AY286" s="67">
        <f t="shared" si="989"/>
        <v>7525</v>
      </c>
      <c r="AZ286" s="67">
        <f t="shared" si="989"/>
        <v>6461.82</v>
      </c>
      <c r="BA286" s="67">
        <f t="shared" si="989"/>
        <v>13986.82</v>
      </c>
      <c r="BB286" s="67">
        <f t="shared" si="989"/>
        <v>7254.45</v>
      </c>
      <c r="BC286" s="67">
        <f t="shared" si="989"/>
        <v>6674.79</v>
      </c>
      <c r="BD286" s="67">
        <f t="shared" si="989"/>
        <v>270.55000000000018</v>
      </c>
      <c r="BE286" s="67">
        <f t="shared" si="989"/>
        <v>-212.97000000000025</v>
      </c>
      <c r="BF286" s="67">
        <f t="shared" si="989"/>
        <v>1450.89</v>
      </c>
      <c r="BG286" s="137">
        <f t="shared" si="989"/>
        <v>1334.96</v>
      </c>
      <c r="BH286" s="137">
        <f t="shared" si="989"/>
        <v>590.16999999999996</v>
      </c>
      <c r="BI286" s="137">
        <f t="shared" si="989"/>
        <v>773.97</v>
      </c>
      <c r="BJ286" s="137">
        <f t="shared" si="989"/>
        <v>500</v>
      </c>
      <c r="BK286" s="137">
        <f t="shared" si="989"/>
        <v>0</v>
      </c>
      <c r="BL286" s="137">
        <f t="shared" si="989"/>
        <v>8615.17</v>
      </c>
      <c r="BM286" s="137">
        <f t="shared" si="989"/>
        <v>7235.79</v>
      </c>
      <c r="BN286" s="137">
        <f t="shared" si="989"/>
        <v>15850.96</v>
      </c>
      <c r="BO286" s="137">
        <f t="shared" si="989"/>
        <v>8033.54</v>
      </c>
      <c r="BP286" s="137">
        <f t="shared" si="989"/>
        <v>8305.66</v>
      </c>
      <c r="BQ286" s="67">
        <f t="shared" si="989"/>
        <v>581.63000000000011</v>
      </c>
      <c r="BR286" s="67">
        <f t="shared" si="989"/>
        <v>-1069.8699999999999</v>
      </c>
      <c r="BS286" s="67">
        <f t="shared" si="989"/>
        <v>730.32</v>
      </c>
      <c r="BT286" s="67">
        <f t="shared" si="989"/>
        <v>755.06</v>
      </c>
      <c r="BU286" s="67">
        <f t="shared" si="989"/>
        <v>148.68999999999994</v>
      </c>
      <c r="BV286" s="67">
        <f t="shared" si="989"/>
        <v>0</v>
      </c>
      <c r="BW286" s="67">
        <f t="shared" si="989"/>
        <v>185.55</v>
      </c>
      <c r="BX286" s="67">
        <f t="shared" si="989"/>
        <v>0</v>
      </c>
      <c r="BY286" s="67">
        <f t="shared" si="989"/>
        <v>0</v>
      </c>
      <c r="BZ286" s="67">
        <f t="shared" si="989"/>
        <v>799.23</v>
      </c>
      <c r="CA286" s="67">
        <f t="shared" si="989"/>
        <v>8949.41</v>
      </c>
      <c r="CB286" s="67">
        <f t="shared" si="989"/>
        <v>8035.02</v>
      </c>
    </row>
    <row r="287" spans="1:80" ht="18" x14ac:dyDescent="0.3">
      <c r="A287" s="18">
        <v>12</v>
      </c>
      <c r="B287" s="18" t="s">
        <v>462</v>
      </c>
      <c r="C287" s="19" t="s">
        <v>40</v>
      </c>
      <c r="D287" s="20" t="s">
        <v>463</v>
      </c>
      <c r="E287" s="21" t="s">
        <v>464</v>
      </c>
      <c r="F287" s="82">
        <v>0</v>
      </c>
      <c r="G287" s="82">
        <v>0</v>
      </c>
      <c r="H287" s="82">
        <v>0</v>
      </c>
      <c r="I287" s="22">
        <v>0</v>
      </c>
      <c r="J287" s="89">
        <v>0</v>
      </c>
      <c r="K287" s="88"/>
      <c r="L287" s="88"/>
      <c r="M287" s="89">
        <f t="shared" ref="M287:M289" si="990">+L287+K287+J287</f>
        <v>0</v>
      </c>
      <c r="N287" s="88"/>
      <c r="O287" s="88"/>
      <c r="P287" s="88"/>
      <c r="Q287" s="89">
        <f t="shared" ref="Q287" si="991">+P287+O287+N287</f>
        <v>0</v>
      </c>
      <c r="R287" s="88">
        <f>+Q287+M287</f>
        <v>0</v>
      </c>
      <c r="S287" s="88"/>
      <c r="V287" s="22">
        <f t="shared" ref="V287" si="992">ROUND(H287*1.0583,2)</f>
        <v>0</v>
      </c>
      <c r="W287" s="17">
        <f t="shared" ref="W287" si="993">ROUND(I287*1.0327,2)</f>
        <v>0</v>
      </c>
      <c r="X287" s="110">
        <f t="shared" si="910"/>
        <v>0</v>
      </c>
      <c r="Y287" s="110">
        <f t="shared" si="911"/>
        <v>0</v>
      </c>
      <c r="Z287" s="110">
        <v>0</v>
      </c>
      <c r="AA287" s="110">
        <v>0</v>
      </c>
      <c r="AB287" s="110">
        <f t="shared" si="912"/>
        <v>0</v>
      </c>
      <c r="AC287" s="111">
        <f t="shared" si="913"/>
        <v>0</v>
      </c>
      <c r="AD287" s="110"/>
      <c r="AE287" s="110"/>
      <c r="AF287" s="110">
        <f t="shared" si="916"/>
        <v>0</v>
      </c>
      <c r="AG287" s="110">
        <f t="shared" si="917"/>
        <v>0</v>
      </c>
      <c r="AH287" s="110">
        <f t="shared" si="918"/>
        <v>0</v>
      </c>
      <c r="AI287" s="129">
        <f t="shared" si="919"/>
        <v>0</v>
      </c>
      <c r="AJ287" s="110">
        <f t="shared" si="920"/>
        <v>0</v>
      </c>
      <c r="AM287" s="110">
        <f t="shared" si="921"/>
        <v>0</v>
      </c>
      <c r="AN287" s="110">
        <f t="shared" si="922"/>
        <v>0</v>
      </c>
      <c r="AQ287" s="110">
        <f t="shared" si="923"/>
        <v>0</v>
      </c>
      <c r="AR287" s="110">
        <f t="shared" si="924"/>
        <v>0</v>
      </c>
      <c r="AU287" s="110">
        <f t="shared" ref="AU287:AU309" si="994">ROUND(AD287*25%,2)</f>
        <v>0</v>
      </c>
      <c r="AV287" s="110">
        <f>ROUND(AE287*25%,2)</f>
        <v>0</v>
      </c>
      <c r="AY287" s="110">
        <f t="shared" si="925"/>
        <v>0</v>
      </c>
      <c r="AZ287" s="110">
        <f t="shared" si="926"/>
        <v>0</v>
      </c>
      <c r="BA287" s="110">
        <f t="shared" si="927"/>
        <v>0</v>
      </c>
      <c r="BD287" s="142">
        <f t="shared" si="928"/>
        <v>0</v>
      </c>
      <c r="BE287" s="142">
        <f t="shared" si="929"/>
        <v>0</v>
      </c>
      <c r="BF287" s="142">
        <f t="shared" si="930"/>
        <v>0</v>
      </c>
      <c r="BG287" s="142">
        <f t="shared" si="931"/>
        <v>0</v>
      </c>
      <c r="BH287" s="110">
        <v>0</v>
      </c>
      <c r="BI287" s="110">
        <v>0</v>
      </c>
      <c r="BL287" s="110">
        <f t="shared" si="945"/>
        <v>0</v>
      </c>
      <c r="BM287" s="110">
        <f t="shared" si="953"/>
        <v>0</v>
      </c>
      <c r="BN287" s="110">
        <f t="shared" si="954"/>
        <v>0</v>
      </c>
      <c r="BP287" s="129"/>
      <c r="BQ287" s="110">
        <f t="shared" si="955"/>
        <v>0</v>
      </c>
      <c r="BR287" s="110">
        <f t="shared" si="956"/>
        <v>0</v>
      </c>
      <c r="BS287" s="110">
        <f t="shared" si="957"/>
        <v>0</v>
      </c>
      <c r="BT287" s="110">
        <f t="shared" si="958"/>
        <v>0</v>
      </c>
      <c r="BU287" s="110">
        <f t="shared" si="974"/>
        <v>0</v>
      </c>
      <c r="BV287" s="110">
        <v>0</v>
      </c>
      <c r="CA287" s="110">
        <f t="shared" si="959"/>
        <v>0</v>
      </c>
      <c r="CB287" s="110">
        <f t="shared" si="960"/>
        <v>0</v>
      </c>
    </row>
    <row r="288" spans="1:80" ht="36" x14ac:dyDescent="0.3">
      <c r="A288" s="46"/>
      <c r="B288" s="46"/>
      <c r="C288" s="47"/>
      <c r="D288" s="48" t="s">
        <v>465</v>
      </c>
      <c r="E288" s="49" t="s">
        <v>466</v>
      </c>
      <c r="F288" s="50">
        <v>8182.66</v>
      </c>
      <c r="G288" s="50">
        <v>5831.45</v>
      </c>
      <c r="H288" s="50">
        <v>8532.66</v>
      </c>
      <c r="I288" s="50">
        <v>5831.45</v>
      </c>
      <c r="J288" s="94">
        <f t="shared" ref="J288:AA288" si="995">+J286+J287</f>
        <v>9000</v>
      </c>
      <c r="K288" s="94">
        <f t="shared" si="995"/>
        <v>0</v>
      </c>
      <c r="L288" s="94">
        <f t="shared" si="995"/>
        <v>0</v>
      </c>
      <c r="M288" s="94">
        <f t="shared" si="995"/>
        <v>9000</v>
      </c>
      <c r="N288" s="94">
        <f t="shared" si="995"/>
        <v>0</v>
      </c>
      <c r="O288" s="94">
        <f t="shared" si="995"/>
        <v>0</v>
      </c>
      <c r="P288" s="94">
        <f t="shared" si="995"/>
        <v>0</v>
      </c>
      <c r="Q288" s="94">
        <f t="shared" si="995"/>
        <v>0</v>
      </c>
      <c r="R288" s="94">
        <f t="shared" si="995"/>
        <v>9000</v>
      </c>
      <c r="S288" s="94">
        <f t="shared" si="995"/>
        <v>6200</v>
      </c>
      <c r="T288" s="94">
        <f t="shared" si="995"/>
        <v>0</v>
      </c>
      <c r="U288" s="94">
        <f t="shared" si="995"/>
        <v>0</v>
      </c>
      <c r="V288" s="94">
        <f t="shared" si="995"/>
        <v>9018.7099999999991</v>
      </c>
      <c r="W288" s="94">
        <f t="shared" si="995"/>
        <v>6025.9500000000007</v>
      </c>
      <c r="X288" s="94">
        <f t="shared" si="995"/>
        <v>-18.709999999999127</v>
      </c>
      <c r="Y288" s="94">
        <f t="shared" si="995"/>
        <v>174.04999999999927</v>
      </c>
      <c r="Z288" s="94">
        <f t="shared" si="995"/>
        <v>9100</v>
      </c>
      <c r="AA288" s="94">
        <f t="shared" si="995"/>
        <v>0</v>
      </c>
      <c r="AB288" s="50">
        <f t="shared" si="912"/>
        <v>9100</v>
      </c>
      <c r="AC288" s="111">
        <f t="shared" si="913"/>
        <v>0</v>
      </c>
      <c r="AD288" s="50">
        <f t="shared" ref="AD288:CB288" si="996">+AD286+AD287</f>
        <v>9100</v>
      </c>
      <c r="AE288" s="50">
        <f t="shared" si="996"/>
        <v>6900</v>
      </c>
      <c r="AF288" s="50">
        <f t="shared" si="996"/>
        <v>6093.64</v>
      </c>
      <c r="AG288" s="50">
        <f t="shared" si="996"/>
        <v>2250</v>
      </c>
      <c r="AH288" s="50">
        <f t="shared" si="996"/>
        <v>1756</v>
      </c>
      <c r="AI288" s="133">
        <f t="shared" si="996"/>
        <v>750</v>
      </c>
      <c r="AJ288" s="50">
        <f t="shared" si="996"/>
        <v>620</v>
      </c>
      <c r="AK288" s="50">
        <f t="shared" si="996"/>
        <v>0</v>
      </c>
      <c r="AL288" s="50">
        <f t="shared" si="996"/>
        <v>0</v>
      </c>
      <c r="AM288" s="50">
        <f t="shared" si="996"/>
        <v>2250</v>
      </c>
      <c r="AN288" s="50">
        <f t="shared" si="996"/>
        <v>1710.82</v>
      </c>
      <c r="AO288" s="50">
        <f t="shared" si="996"/>
        <v>0</v>
      </c>
      <c r="AP288" s="50">
        <f t="shared" si="996"/>
        <v>0</v>
      </c>
      <c r="AQ288" s="50">
        <f t="shared" si="996"/>
        <v>4500</v>
      </c>
      <c r="AR288" s="50">
        <f t="shared" si="996"/>
        <v>3466.8199999999997</v>
      </c>
      <c r="AS288" s="50">
        <f t="shared" si="996"/>
        <v>0</v>
      </c>
      <c r="AT288" s="50">
        <f t="shared" si="996"/>
        <v>0</v>
      </c>
      <c r="AU288" s="50">
        <f t="shared" si="996"/>
        <v>2275</v>
      </c>
      <c r="AV288" s="50">
        <f t="shared" si="996"/>
        <v>1725</v>
      </c>
      <c r="AW288" s="50">
        <f t="shared" si="996"/>
        <v>0</v>
      </c>
      <c r="AX288" s="50">
        <f t="shared" si="996"/>
        <v>650</v>
      </c>
      <c r="AY288" s="50">
        <f t="shared" si="996"/>
        <v>7525</v>
      </c>
      <c r="AZ288" s="50">
        <f t="shared" si="996"/>
        <v>6461.82</v>
      </c>
      <c r="BA288" s="50">
        <f t="shared" si="996"/>
        <v>13986.82</v>
      </c>
      <c r="BB288" s="50">
        <f t="shared" si="996"/>
        <v>7254.45</v>
      </c>
      <c r="BC288" s="50">
        <f t="shared" si="996"/>
        <v>6674.79</v>
      </c>
      <c r="BD288" s="50">
        <f t="shared" si="996"/>
        <v>270.55000000000018</v>
      </c>
      <c r="BE288" s="50">
        <f t="shared" si="996"/>
        <v>-212.97000000000025</v>
      </c>
      <c r="BF288" s="50">
        <f t="shared" si="996"/>
        <v>1450.89</v>
      </c>
      <c r="BG288" s="133">
        <f t="shared" si="996"/>
        <v>1334.96</v>
      </c>
      <c r="BH288" s="133">
        <f t="shared" si="996"/>
        <v>590.16999999999996</v>
      </c>
      <c r="BI288" s="133">
        <f t="shared" si="996"/>
        <v>773.97</v>
      </c>
      <c r="BJ288" s="133">
        <f t="shared" si="996"/>
        <v>500</v>
      </c>
      <c r="BK288" s="133">
        <f t="shared" si="996"/>
        <v>0</v>
      </c>
      <c r="BL288" s="133">
        <f t="shared" si="996"/>
        <v>8615.17</v>
      </c>
      <c r="BM288" s="133">
        <f t="shared" si="996"/>
        <v>7235.79</v>
      </c>
      <c r="BN288" s="133">
        <f t="shared" si="996"/>
        <v>15850.96</v>
      </c>
      <c r="BO288" s="133">
        <f t="shared" si="996"/>
        <v>8033.54</v>
      </c>
      <c r="BP288" s="133">
        <f t="shared" si="996"/>
        <v>8305.66</v>
      </c>
      <c r="BQ288" s="50">
        <f t="shared" si="996"/>
        <v>581.63000000000011</v>
      </c>
      <c r="BR288" s="50">
        <f t="shared" si="996"/>
        <v>-1069.8699999999999</v>
      </c>
      <c r="BS288" s="50">
        <f t="shared" si="996"/>
        <v>730.32</v>
      </c>
      <c r="BT288" s="50">
        <f t="shared" si="996"/>
        <v>755.06</v>
      </c>
      <c r="BU288" s="50">
        <f t="shared" si="996"/>
        <v>148.68999999999994</v>
      </c>
      <c r="BV288" s="50">
        <f t="shared" si="996"/>
        <v>0</v>
      </c>
      <c r="BW288" s="50">
        <f t="shared" si="996"/>
        <v>185.55</v>
      </c>
      <c r="BX288" s="50">
        <f t="shared" si="996"/>
        <v>0</v>
      </c>
      <c r="BY288" s="50">
        <f t="shared" si="996"/>
        <v>0</v>
      </c>
      <c r="BZ288" s="50">
        <f t="shared" si="996"/>
        <v>799.23</v>
      </c>
      <c r="CA288" s="50">
        <f t="shared" si="996"/>
        <v>8949.41</v>
      </c>
      <c r="CB288" s="50">
        <f t="shared" si="996"/>
        <v>8035.02</v>
      </c>
    </row>
    <row r="289" spans="1:80" ht="18" x14ac:dyDescent="0.3">
      <c r="A289" s="13">
        <v>1</v>
      </c>
      <c r="B289" s="44" t="s">
        <v>467</v>
      </c>
      <c r="C289" s="45"/>
      <c r="D289" s="53" t="s">
        <v>468</v>
      </c>
      <c r="E289" s="68" t="s">
        <v>469</v>
      </c>
      <c r="F289" s="82">
        <v>45.31</v>
      </c>
      <c r="G289" s="82">
        <v>0</v>
      </c>
      <c r="H289" s="82">
        <v>45.31</v>
      </c>
      <c r="I289" s="17">
        <v>0</v>
      </c>
      <c r="J289" s="87">
        <v>100</v>
      </c>
      <c r="K289" s="88"/>
      <c r="L289" s="88"/>
      <c r="M289" s="89">
        <f t="shared" si="990"/>
        <v>100</v>
      </c>
      <c r="N289" s="88"/>
      <c r="O289" s="88"/>
      <c r="P289" s="88"/>
      <c r="Q289" s="89">
        <f t="shared" ref="Q289" si="997">+P289+O289+N289</f>
        <v>0</v>
      </c>
      <c r="R289" s="88">
        <f>+Q289+M289</f>
        <v>100</v>
      </c>
      <c r="S289" s="88"/>
      <c r="V289" s="17">
        <f t="shared" ref="V289" si="998">ROUND(H289*1.0583,2)</f>
        <v>47.95</v>
      </c>
      <c r="W289" s="17">
        <f t="shared" ref="W289" si="999">ROUND(I289*1.0327,2)</f>
        <v>0</v>
      </c>
      <c r="X289" s="110">
        <f t="shared" si="910"/>
        <v>52.05</v>
      </c>
      <c r="Y289" s="110">
        <f t="shared" si="911"/>
        <v>0</v>
      </c>
      <c r="Z289" s="110">
        <v>47.95</v>
      </c>
      <c r="AA289" s="110"/>
      <c r="AB289" s="110">
        <f t="shared" si="912"/>
        <v>47.95</v>
      </c>
      <c r="AC289" s="111">
        <f t="shared" si="913"/>
        <v>0</v>
      </c>
      <c r="AD289" s="110">
        <f t="shared" ref="AD289" si="1000">IF(X289&gt;0,V289,R289)</f>
        <v>47.95</v>
      </c>
      <c r="AE289" s="110">
        <f t="shared" ref="AE289" si="1001">IF(Y289&gt;0,W289,S289)</f>
        <v>0</v>
      </c>
      <c r="AF289" s="110">
        <f t="shared" si="916"/>
        <v>0</v>
      </c>
      <c r="AG289" s="110">
        <f t="shared" si="917"/>
        <v>12</v>
      </c>
      <c r="AH289" s="110">
        <f t="shared" si="918"/>
        <v>0</v>
      </c>
      <c r="AI289" s="129">
        <f t="shared" si="919"/>
        <v>4</v>
      </c>
      <c r="AJ289" s="110">
        <f t="shared" si="920"/>
        <v>0</v>
      </c>
      <c r="AM289" s="110">
        <f t="shared" si="921"/>
        <v>11.99</v>
      </c>
      <c r="AN289" s="110">
        <f t="shared" si="922"/>
        <v>0</v>
      </c>
      <c r="AQ289" s="110">
        <f t="shared" si="923"/>
        <v>23.990000000000002</v>
      </c>
      <c r="AR289" s="110">
        <f t="shared" si="924"/>
        <v>0</v>
      </c>
      <c r="AU289" s="110">
        <f t="shared" si="994"/>
        <v>11.99</v>
      </c>
      <c r="AV289" s="110">
        <f t="shared" ref="AV289:AV293" si="1002">ROUND(AE289*25%,2)</f>
        <v>0</v>
      </c>
      <c r="AY289" s="110">
        <f t="shared" si="925"/>
        <v>39.980000000000004</v>
      </c>
      <c r="AZ289" s="110">
        <f t="shared" si="926"/>
        <v>0</v>
      </c>
      <c r="BA289" s="111">
        <f t="shared" si="927"/>
        <v>39.980000000000004</v>
      </c>
      <c r="BB289" s="152">
        <v>31.67</v>
      </c>
      <c r="BC289" s="152"/>
      <c r="BD289" s="142">
        <f t="shared" si="928"/>
        <v>8.3100000000000023</v>
      </c>
      <c r="BE289" s="142">
        <f t="shared" si="929"/>
        <v>0</v>
      </c>
      <c r="BF289" s="142">
        <f t="shared" si="930"/>
        <v>6.33</v>
      </c>
      <c r="BG289" s="142">
        <f t="shared" si="931"/>
        <v>0</v>
      </c>
      <c r="BH289" s="110">
        <v>0</v>
      </c>
      <c r="BI289" s="110">
        <v>0</v>
      </c>
      <c r="BL289" s="110">
        <f t="shared" si="945"/>
        <v>39.980000000000004</v>
      </c>
      <c r="BM289" s="110">
        <f t="shared" si="953"/>
        <v>0</v>
      </c>
      <c r="BN289" s="110">
        <f t="shared" si="954"/>
        <v>39.980000000000004</v>
      </c>
      <c r="BO289" s="110">
        <v>35.020000000000003</v>
      </c>
      <c r="BP289" s="129"/>
      <c r="BQ289" s="110">
        <f t="shared" si="955"/>
        <v>4.9600000000000009</v>
      </c>
      <c r="BR289" s="110">
        <f t="shared" si="956"/>
        <v>0</v>
      </c>
      <c r="BS289" s="110">
        <f t="shared" si="957"/>
        <v>3.18</v>
      </c>
      <c r="BT289" s="110">
        <f t="shared" si="958"/>
        <v>0</v>
      </c>
      <c r="BU289" s="146">
        <v>2.42</v>
      </c>
      <c r="BV289" s="146">
        <v>0</v>
      </c>
      <c r="BW289" s="146"/>
      <c r="BX289" s="146"/>
      <c r="BY289" s="146"/>
      <c r="BZ289" s="146"/>
      <c r="CA289" s="110">
        <f t="shared" si="959"/>
        <v>42.400000000000006</v>
      </c>
      <c r="CB289" s="110">
        <f t="shared" si="960"/>
        <v>0</v>
      </c>
    </row>
    <row r="290" spans="1:80" ht="36" x14ac:dyDescent="0.3">
      <c r="A290" s="46"/>
      <c r="B290" s="46" t="s">
        <v>467</v>
      </c>
      <c r="C290" s="47" t="s">
        <v>40</v>
      </c>
      <c r="D290" s="48" t="s">
        <v>470</v>
      </c>
      <c r="E290" s="49" t="s">
        <v>471</v>
      </c>
      <c r="F290" s="66">
        <v>45.31</v>
      </c>
      <c r="G290" s="66">
        <v>0</v>
      </c>
      <c r="H290" s="66">
        <v>45.31</v>
      </c>
      <c r="I290" s="66">
        <v>0</v>
      </c>
      <c r="J290" s="99">
        <f t="shared" ref="J290:AA290" si="1003">J289</f>
        <v>100</v>
      </c>
      <c r="K290" s="99">
        <f t="shared" si="1003"/>
        <v>0</v>
      </c>
      <c r="L290" s="99">
        <f t="shared" si="1003"/>
        <v>0</v>
      </c>
      <c r="M290" s="99">
        <f t="shared" si="1003"/>
        <v>100</v>
      </c>
      <c r="N290" s="99">
        <f t="shared" si="1003"/>
        <v>0</v>
      </c>
      <c r="O290" s="99">
        <f t="shared" si="1003"/>
        <v>0</v>
      </c>
      <c r="P290" s="99">
        <f t="shared" si="1003"/>
        <v>0</v>
      </c>
      <c r="Q290" s="99">
        <f t="shared" si="1003"/>
        <v>0</v>
      </c>
      <c r="R290" s="99">
        <f t="shared" si="1003"/>
        <v>100</v>
      </c>
      <c r="S290" s="99">
        <f t="shared" si="1003"/>
        <v>0</v>
      </c>
      <c r="T290" s="99">
        <f t="shared" si="1003"/>
        <v>0</v>
      </c>
      <c r="U290" s="99">
        <f t="shared" si="1003"/>
        <v>0</v>
      </c>
      <c r="V290" s="99">
        <f t="shared" si="1003"/>
        <v>47.95</v>
      </c>
      <c r="W290" s="99">
        <f t="shared" si="1003"/>
        <v>0</v>
      </c>
      <c r="X290" s="99">
        <f t="shared" si="1003"/>
        <v>52.05</v>
      </c>
      <c r="Y290" s="99">
        <f t="shared" si="1003"/>
        <v>0</v>
      </c>
      <c r="Z290" s="99">
        <f t="shared" si="1003"/>
        <v>47.95</v>
      </c>
      <c r="AA290" s="99">
        <f t="shared" si="1003"/>
        <v>0</v>
      </c>
      <c r="AB290" s="66">
        <f t="shared" si="912"/>
        <v>47.95</v>
      </c>
      <c r="AC290" s="111">
        <f t="shared" si="913"/>
        <v>0</v>
      </c>
      <c r="AD290" s="66">
        <f t="shared" ref="AD290:CB290" si="1004">AD289</f>
        <v>47.95</v>
      </c>
      <c r="AE290" s="66">
        <f t="shared" si="1004"/>
        <v>0</v>
      </c>
      <c r="AF290" s="66">
        <f t="shared" si="1004"/>
        <v>0</v>
      </c>
      <c r="AG290" s="66">
        <f t="shared" si="1004"/>
        <v>12</v>
      </c>
      <c r="AH290" s="66">
        <f t="shared" si="1004"/>
        <v>0</v>
      </c>
      <c r="AI290" s="132">
        <f t="shared" si="1004"/>
        <v>4</v>
      </c>
      <c r="AJ290" s="66">
        <f t="shared" si="1004"/>
        <v>0</v>
      </c>
      <c r="AK290" s="66">
        <f t="shared" si="1004"/>
        <v>0</v>
      </c>
      <c r="AL290" s="66">
        <f t="shared" si="1004"/>
        <v>0</v>
      </c>
      <c r="AM290" s="66">
        <f t="shared" si="1004"/>
        <v>11.99</v>
      </c>
      <c r="AN290" s="66">
        <f t="shared" si="1004"/>
        <v>0</v>
      </c>
      <c r="AO290" s="66">
        <f t="shared" si="1004"/>
        <v>0</v>
      </c>
      <c r="AP290" s="66">
        <f t="shared" si="1004"/>
        <v>0</v>
      </c>
      <c r="AQ290" s="66">
        <f t="shared" si="1004"/>
        <v>23.990000000000002</v>
      </c>
      <c r="AR290" s="66">
        <f t="shared" si="1004"/>
        <v>0</v>
      </c>
      <c r="AS290" s="66">
        <f t="shared" si="1004"/>
        <v>0</v>
      </c>
      <c r="AT290" s="66">
        <f t="shared" si="1004"/>
        <v>0</v>
      </c>
      <c r="AU290" s="66">
        <f t="shared" si="1004"/>
        <v>11.99</v>
      </c>
      <c r="AV290" s="66">
        <f t="shared" si="1004"/>
        <v>0</v>
      </c>
      <c r="AW290" s="66">
        <f t="shared" si="1004"/>
        <v>0</v>
      </c>
      <c r="AX290" s="66">
        <f t="shared" si="1004"/>
        <v>0</v>
      </c>
      <c r="AY290" s="66">
        <f t="shared" si="1004"/>
        <v>39.980000000000004</v>
      </c>
      <c r="AZ290" s="66">
        <f t="shared" si="1004"/>
        <v>0</v>
      </c>
      <c r="BA290" s="66">
        <f t="shared" si="1004"/>
        <v>39.980000000000004</v>
      </c>
      <c r="BB290" s="66">
        <f t="shared" si="1004"/>
        <v>31.67</v>
      </c>
      <c r="BC290" s="66">
        <f t="shared" si="1004"/>
        <v>0</v>
      </c>
      <c r="BD290" s="66">
        <f t="shared" si="1004"/>
        <v>8.3100000000000023</v>
      </c>
      <c r="BE290" s="66">
        <f t="shared" si="1004"/>
        <v>0</v>
      </c>
      <c r="BF290" s="66">
        <f t="shared" si="1004"/>
        <v>6.33</v>
      </c>
      <c r="BG290" s="132">
        <f t="shared" si="1004"/>
        <v>0</v>
      </c>
      <c r="BH290" s="132">
        <f t="shared" si="1004"/>
        <v>0</v>
      </c>
      <c r="BI290" s="132">
        <f t="shared" si="1004"/>
        <v>0</v>
      </c>
      <c r="BJ290" s="132">
        <f t="shared" si="1004"/>
        <v>0</v>
      </c>
      <c r="BK290" s="132">
        <f t="shared" si="1004"/>
        <v>0</v>
      </c>
      <c r="BL290" s="132">
        <f t="shared" si="1004"/>
        <v>39.980000000000004</v>
      </c>
      <c r="BM290" s="132">
        <f t="shared" si="1004"/>
        <v>0</v>
      </c>
      <c r="BN290" s="132">
        <f t="shared" si="1004"/>
        <v>39.980000000000004</v>
      </c>
      <c r="BO290" s="132">
        <f t="shared" si="1004"/>
        <v>35.020000000000003</v>
      </c>
      <c r="BP290" s="132">
        <f t="shared" si="1004"/>
        <v>0</v>
      </c>
      <c r="BQ290" s="66">
        <f t="shared" si="1004"/>
        <v>4.9600000000000009</v>
      </c>
      <c r="BR290" s="66">
        <f t="shared" si="1004"/>
        <v>0</v>
      </c>
      <c r="BS290" s="66">
        <f t="shared" si="1004"/>
        <v>3.18</v>
      </c>
      <c r="BT290" s="66">
        <f t="shared" si="1004"/>
        <v>0</v>
      </c>
      <c r="BU290" s="66">
        <f t="shared" si="1004"/>
        <v>2.42</v>
      </c>
      <c r="BV290" s="66">
        <f t="shared" si="1004"/>
        <v>0</v>
      </c>
      <c r="BW290" s="66">
        <f t="shared" si="1004"/>
        <v>0</v>
      </c>
      <c r="BX290" s="66">
        <f t="shared" si="1004"/>
        <v>0</v>
      </c>
      <c r="BY290" s="66">
        <f t="shared" si="1004"/>
        <v>0</v>
      </c>
      <c r="BZ290" s="66">
        <f t="shared" si="1004"/>
        <v>0</v>
      </c>
      <c r="CA290" s="66">
        <f t="shared" si="1004"/>
        <v>42.400000000000006</v>
      </c>
      <c r="CB290" s="66">
        <f t="shared" si="1004"/>
        <v>0</v>
      </c>
    </row>
    <row r="291" spans="1:80" ht="36" x14ac:dyDescent="0.3">
      <c r="A291" s="18">
        <v>1</v>
      </c>
      <c r="B291" s="18" t="s">
        <v>472</v>
      </c>
      <c r="C291" s="19" t="s">
        <v>40</v>
      </c>
      <c r="D291" s="20" t="s">
        <v>473</v>
      </c>
      <c r="E291" s="21" t="s">
        <v>474</v>
      </c>
      <c r="F291" s="82">
        <v>480.97</v>
      </c>
      <c r="G291" s="82">
        <v>0</v>
      </c>
      <c r="H291" s="82">
        <v>506.98</v>
      </c>
      <c r="I291" s="22">
        <v>0</v>
      </c>
      <c r="J291" s="108">
        <v>520</v>
      </c>
      <c r="K291" s="89"/>
      <c r="L291" s="89"/>
      <c r="M291" s="89">
        <f t="shared" ref="M291:M302" si="1005">+L291+K291+J291</f>
        <v>520</v>
      </c>
      <c r="N291" s="89"/>
      <c r="O291" s="89"/>
      <c r="P291" s="89"/>
      <c r="Q291" s="89">
        <f t="shared" ref="Q291:Q302" si="1006">+P291+O291+N291</f>
        <v>0</v>
      </c>
      <c r="R291" s="89">
        <f>Q291+M291</f>
        <v>520</v>
      </c>
      <c r="S291" s="89">
        <v>0</v>
      </c>
      <c r="V291" s="22">
        <f t="shared" ref="V291:V302" si="1007">ROUND(H291*1.0583,2)</f>
        <v>536.54</v>
      </c>
      <c r="W291" s="17">
        <f t="shared" ref="W291:W302" si="1008">ROUND(I291*1.0327,2)</f>
        <v>0</v>
      </c>
      <c r="X291" s="110">
        <f t="shared" si="910"/>
        <v>-16.539999999999964</v>
      </c>
      <c r="Y291" s="110">
        <f t="shared" si="911"/>
        <v>0</v>
      </c>
      <c r="Z291" s="110">
        <v>520</v>
      </c>
      <c r="AA291" s="110"/>
      <c r="AB291" s="110">
        <f t="shared" si="912"/>
        <v>520</v>
      </c>
      <c r="AC291" s="111">
        <f t="shared" si="913"/>
        <v>0</v>
      </c>
      <c r="AD291" s="89">
        <f t="shared" ref="AD291" si="1009">IF(X291&gt;0,V291,R291)</f>
        <v>520</v>
      </c>
      <c r="AE291" s="89">
        <f t="shared" ref="AE291" si="1010">IF(Y291&gt;0,W291,S291)</f>
        <v>0</v>
      </c>
      <c r="AF291" s="89">
        <f t="shared" si="916"/>
        <v>0</v>
      </c>
      <c r="AG291" s="110">
        <f t="shared" si="917"/>
        <v>130</v>
      </c>
      <c r="AH291" s="110">
        <f t="shared" si="918"/>
        <v>0</v>
      </c>
      <c r="AI291" s="129">
        <f t="shared" si="919"/>
        <v>43</v>
      </c>
      <c r="AJ291" s="110">
        <f t="shared" si="920"/>
        <v>0</v>
      </c>
      <c r="AM291" s="110">
        <f t="shared" si="921"/>
        <v>130</v>
      </c>
      <c r="AN291" s="110">
        <f t="shared" si="922"/>
        <v>0</v>
      </c>
      <c r="AQ291" s="110">
        <f t="shared" si="923"/>
        <v>260</v>
      </c>
      <c r="AR291" s="110">
        <f t="shared" si="924"/>
        <v>0</v>
      </c>
      <c r="AU291" s="110">
        <f t="shared" si="994"/>
        <v>130</v>
      </c>
      <c r="AV291" s="110">
        <f t="shared" si="1002"/>
        <v>0</v>
      </c>
      <c r="AY291" s="110">
        <f t="shared" si="925"/>
        <v>433</v>
      </c>
      <c r="AZ291" s="110">
        <f t="shared" si="926"/>
        <v>0</v>
      </c>
      <c r="BA291" s="110">
        <f t="shared" si="927"/>
        <v>433</v>
      </c>
      <c r="BB291" s="142">
        <v>341.16</v>
      </c>
      <c r="BD291" s="142">
        <f t="shared" si="928"/>
        <v>91.839999999999975</v>
      </c>
      <c r="BE291" s="142">
        <f t="shared" si="929"/>
        <v>0</v>
      </c>
      <c r="BF291" s="142">
        <f t="shared" si="930"/>
        <v>68.23</v>
      </c>
      <c r="BG291" s="142">
        <f t="shared" si="931"/>
        <v>0</v>
      </c>
      <c r="BH291" s="110">
        <v>0</v>
      </c>
      <c r="BI291" s="110">
        <v>0</v>
      </c>
      <c r="BL291" s="110">
        <f t="shared" si="945"/>
        <v>433</v>
      </c>
      <c r="BM291" s="110">
        <f t="shared" si="953"/>
        <v>0</v>
      </c>
      <c r="BN291" s="110">
        <f t="shared" si="954"/>
        <v>433</v>
      </c>
      <c r="BO291" s="110">
        <v>384.14</v>
      </c>
      <c r="BP291" s="129"/>
      <c r="BQ291" s="110">
        <f t="shared" si="955"/>
        <v>48.860000000000014</v>
      </c>
      <c r="BR291" s="110">
        <f t="shared" si="956"/>
        <v>0</v>
      </c>
      <c r="BS291" s="110">
        <f t="shared" si="957"/>
        <v>34.92</v>
      </c>
      <c r="BT291" s="110">
        <f t="shared" si="958"/>
        <v>0</v>
      </c>
      <c r="BU291" s="110">
        <v>0</v>
      </c>
      <c r="BV291" s="110">
        <v>0</v>
      </c>
      <c r="CA291" s="110">
        <f t="shared" si="959"/>
        <v>433</v>
      </c>
      <c r="CB291" s="110">
        <f t="shared" si="960"/>
        <v>0</v>
      </c>
    </row>
    <row r="292" spans="1:80" ht="18" x14ac:dyDescent="0.3">
      <c r="A292" s="18">
        <v>2</v>
      </c>
      <c r="B292" s="18" t="s">
        <v>475</v>
      </c>
      <c r="C292" s="19" t="s">
        <v>104</v>
      </c>
      <c r="D292" s="20" t="s">
        <v>476</v>
      </c>
      <c r="E292" s="21" t="s">
        <v>477</v>
      </c>
      <c r="F292" s="82">
        <v>9415.4599999999991</v>
      </c>
      <c r="G292" s="82">
        <v>15</v>
      </c>
      <c r="H292" s="82">
        <v>9515.4599999999991</v>
      </c>
      <c r="I292" s="22">
        <v>13.879999999999999</v>
      </c>
      <c r="J292" s="89">
        <v>9775</v>
      </c>
      <c r="K292" s="89"/>
      <c r="L292" s="89"/>
      <c r="M292" s="89">
        <f t="shared" si="1005"/>
        <v>9775</v>
      </c>
      <c r="N292" s="89"/>
      <c r="O292" s="89"/>
      <c r="P292" s="89"/>
      <c r="Q292" s="89">
        <f t="shared" si="1006"/>
        <v>0</v>
      </c>
      <c r="R292" s="89">
        <f t="shared" ref="R292:R302" si="1011">Q292+M292</f>
        <v>9775</v>
      </c>
      <c r="S292" s="89">
        <v>0</v>
      </c>
      <c r="V292" s="22">
        <f t="shared" si="1007"/>
        <v>10070.209999999999</v>
      </c>
      <c r="W292" s="17">
        <f t="shared" si="1008"/>
        <v>14.33</v>
      </c>
      <c r="X292" s="110">
        <f t="shared" si="910"/>
        <v>-295.20999999999913</v>
      </c>
      <c r="Y292" s="110">
        <f t="shared" si="911"/>
        <v>-14.33</v>
      </c>
      <c r="Z292" s="110">
        <v>9775</v>
      </c>
      <c r="AA292" s="110"/>
      <c r="AB292" s="110">
        <f t="shared" si="912"/>
        <v>9775</v>
      </c>
      <c r="AC292" s="111">
        <f t="shared" si="913"/>
        <v>0</v>
      </c>
      <c r="AD292" s="89">
        <f t="shared" ref="AD292:AD302" si="1012">IF(X292&gt;0,V292,R292)</f>
        <v>9775</v>
      </c>
      <c r="AE292" s="89">
        <f>IF(Y292&gt;0,W292,S292)+6</f>
        <v>6</v>
      </c>
      <c r="AF292" s="89">
        <f t="shared" si="916"/>
        <v>0</v>
      </c>
      <c r="AG292" s="110">
        <f t="shared" si="917"/>
        <v>2444</v>
      </c>
      <c r="AH292" s="110">
        <v>0</v>
      </c>
      <c r="AI292" s="129">
        <f t="shared" si="919"/>
        <v>815</v>
      </c>
      <c r="AJ292" s="110">
        <v>0</v>
      </c>
      <c r="AM292" s="110">
        <f t="shared" si="921"/>
        <v>2443.75</v>
      </c>
      <c r="AN292" s="110">
        <f>ROUND(AE292*24.35%,2)+1.54</f>
        <v>3</v>
      </c>
      <c r="AQ292" s="110">
        <f t="shared" si="923"/>
        <v>4887.75</v>
      </c>
      <c r="AR292" s="110">
        <f t="shared" si="924"/>
        <v>3</v>
      </c>
      <c r="AU292" s="110">
        <f t="shared" si="994"/>
        <v>2443.75</v>
      </c>
      <c r="AV292" s="110">
        <f t="shared" si="1002"/>
        <v>1.5</v>
      </c>
      <c r="AY292" s="110">
        <f t="shared" si="925"/>
        <v>8146.5</v>
      </c>
      <c r="AZ292" s="110">
        <f>+AR292+AT292+AV292+AX292+AJ292</f>
        <v>4.5</v>
      </c>
      <c r="BA292" s="110">
        <f t="shared" si="927"/>
        <v>8151</v>
      </c>
      <c r="BB292" s="142">
        <v>7567.48</v>
      </c>
      <c r="BC292" s="142">
        <v>11.19</v>
      </c>
      <c r="BD292" s="142">
        <f t="shared" si="928"/>
        <v>579.02000000000044</v>
      </c>
      <c r="BE292" s="142">
        <f t="shared" si="929"/>
        <v>-6.6899999999999995</v>
      </c>
      <c r="BF292" s="142">
        <f t="shared" si="930"/>
        <v>1513.5</v>
      </c>
      <c r="BG292" s="142">
        <f t="shared" si="931"/>
        <v>2.2400000000000002</v>
      </c>
      <c r="BH292" s="110">
        <v>467.24</v>
      </c>
      <c r="BI292" s="111">
        <v>0</v>
      </c>
      <c r="BJ292" s="111">
        <v>1440</v>
      </c>
      <c r="BK292" s="111">
        <v>6.69</v>
      </c>
      <c r="BL292" s="110">
        <f t="shared" si="945"/>
        <v>10053.74</v>
      </c>
      <c r="BM292" s="110">
        <f t="shared" si="953"/>
        <v>11.190000000000001</v>
      </c>
      <c r="BN292" s="110">
        <f t="shared" si="954"/>
        <v>10064.93</v>
      </c>
      <c r="BO292" s="110">
        <v>9936.26</v>
      </c>
      <c r="BP292" s="129">
        <v>11.19</v>
      </c>
      <c r="BQ292" s="110">
        <f t="shared" si="955"/>
        <v>117.47999999999956</v>
      </c>
      <c r="BR292" s="110">
        <f t="shared" si="956"/>
        <v>0</v>
      </c>
      <c r="BS292" s="110">
        <f t="shared" si="957"/>
        <v>903.3</v>
      </c>
      <c r="BT292" s="110">
        <f t="shared" si="958"/>
        <v>1.02</v>
      </c>
      <c r="BU292" s="110">
        <v>700</v>
      </c>
      <c r="BV292" s="110">
        <v>0</v>
      </c>
      <c r="BW292" s="111">
        <v>1746.26</v>
      </c>
      <c r="CA292" s="110">
        <f t="shared" si="959"/>
        <v>12500</v>
      </c>
      <c r="CB292" s="110">
        <f t="shared" si="960"/>
        <v>11.190000000000001</v>
      </c>
    </row>
    <row r="293" spans="1:80" ht="18" x14ac:dyDescent="0.3">
      <c r="A293" s="18">
        <v>3</v>
      </c>
      <c r="B293" s="18" t="s">
        <v>478</v>
      </c>
      <c r="C293" s="19" t="s">
        <v>85</v>
      </c>
      <c r="D293" s="20" t="s">
        <v>479</v>
      </c>
      <c r="E293" s="21" t="s">
        <v>480</v>
      </c>
      <c r="F293" s="82">
        <v>8140.9999999999982</v>
      </c>
      <c r="G293" s="82">
        <v>0.90999999999999992</v>
      </c>
      <c r="H293" s="82">
        <v>8140.9999999999982</v>
      </c>
      <c r="I293" s="22">
        <v>0.90999999999999992</v>
      </c>
      <c r="J293" s="89">
        <v>8000</v>
      </c>
      <c r="K293" s="89"/>
      <c r="L293" s="89"/>
      <c r="M293" s="89">
        <f t="shared" si="1005"/>
        <v>8000</v>
      </c>
      <c r="N293" s="89"/>
      <c r="O293" s="89"/>
      <c r="P293" s="89"/>
      <c r="Q293" s="89">
        <f t="shared" si="1006"/>
        <v>0</v>
      </c>
      <c r="R293" s="89">
        <f t="shared" si="1011"/>
        <v>8000</v>
      </c>
      <c r="S293" s="89">
        <v>1</v>
      </c>
      <c r="V293" s="22">
        <f t="shared" si="1007"/>
        <v>8615.6200000000008</v>
      </c>
      <c r="W293" s="17">
        <f t="shared" si="1008"/>
        <v>0.94</v>
      </c>
      <c r="X293" s="110">
        <f t="shared" si="910"/>
        <v>-615.6200000000008</v>
      </c>
      <c r="Y293" s="110">
        <f t="shared" si="911"/>
        <v>6.0000000000000053E-2</v>
      </c>
      <c r="Z293" s="110">
        <v>8000</v>
      </c>
      <c r="AA293" s="110"/>
      <c r="AB293" s="110">
        <f t="shared" si="912"/>
        <v>8000</v>
      </c>
      <c r="AC293" s="111">
        <f t="shared" si="913"/>
        <v>0</v>
      </c>
      <c r="AD293" s="89">
        <f t="shared" si="1012"/>
        <v>8000</v>
      </c>
      <c r="AE293" s="89">
        <f t="shared" ref="AE293:AE302" si="1013">IF(Y293&gt;0,W293,S293)</f>
        <v>0.94</v>
      </c>
      <c r="AF293" s="89">
        <f t="shared" si="916"/>
        <v>0.9</v>
      </c>
      <c r="AG293" s="110">
        <f t="shared" si="917"/>
        <v>2000</v>
      </c>
      <c r="AH293" s="110">
        <f t="shared" si="918"/>
        <v>0</v>
      </c>
      <c r="AI293" s="129">
        <f t="shared" si="919"/>
        <v>667</v>
      </c>
      <c r="AJ293" s="110">
        <f t="shared" si="920"/>
        <v>0</v>
      </c>
      <c r="AM293" s="110">
        <f t="shared" si="921"/>
        <v>2000</v>
      </c>
      <c r="AN293" s="110">
        <f t="shared" si="922"/>
        <v>0.23</v>
      </c>
      <c r="AQ293" s="110">
        <f t="shared" si="923"/>
        <v>4000</v>
      </c>
      <c r="AR293" s="110">
        <f t="shared" si="924"/>
        <v>0.23</v>
      </c>
      <c r="AU293" s="110">
        <f t="shared" si="994"/>
        <v>2000</v>
      </c>
      <c r="AV293" s="110">
        <f t="shared" si="1002"/>
        <v>0.24</v>
      </c>
      <c r="AY293" s="110">
        <f t="shared" si="925"/>
        <v>6667</v>
      </c>
      <c r="AZ293" s="110">
        <f t="shared" si="926"/>
        <v>0.47</v>
      </c>
      <c r="BA293" s="110">
        <f t="shared" si="927"/>
        <v>6667.47</v>
      </c>
      <c r="BB293" s="142">
        <v>6575.8499999999995</v>
      </c>
      <c r="BD293" s="142">
        <f t="shared" si="928"/>
        <v>91.150000000000546</v>
      </c>
      <c r="BE293" s="142">
        <f t="shared" si="929"/>
        <v>0.47</v>
      </c>
      <c r="BF293" s="142">
        <f t="shared" si="930"/>
        <v>1315.17</v>
      </c>
      <c r="BG293" s="142">
        <f t="shared" si="931"/>
        <v>0</v>
      </c>
      <c r="BH293" s="110">
        <v>612.01</v>
      </c>
      <c r="BI293" s="110">
        <v>0</v>
      </c>
      <c r="BJ293" s="110">
        <v>1395.84</v>
      </c>
      <c r="BL293" s="110">
        <f t="shared" si="945"/>
        <v>8674.85</v>
      </c>
      <c r="BM293" s="110">
        <f t="shared" si="953"/>
        <v>0.47</v>
      </c>
      <c r="BN293" s="110">
        <f t="shared" si="954"/>
        <v>8675.32</v>
      </c>
      <c r="BO293" s="110">
        <v>8565.1</v>
      </c>
      <c r="BP293" s="129"/>
      <c r="BQ293" s="110">
        <f t="shared" si="955"/>
        <v>109.75</v>
      </c>
      <c r="BR293" s="110">
        <f t="shared" si="956"/>
        <v>0.47</v>
      </c>
      <c r="BS293" s="110">
        <f t="shared" si="957"/>
        <v>778.65</v>
      </c>
      <c r="BT293" s="110">
        <f t="shared" si="958"/>
        <v>0</v>
      </c>
      <c r="BU293" s="110">
        <v>600</v>
      </c>
      <c r="BV293" s="110">
        <v>0</v>
      </c>
      <c r="BW293" s="111">
        <f>120.99+200</f>
        <v>320.99</v>
      </c>
      <c r="CA293" s="110">
        <f t="shared" si="959"/>
        <v>9595.84</v>
      </c>
      <c r="CB293" s="110">
        <f t="shared" si="960"/>
        <v>0.47</v>
      </c>
    </row>
    <row r="294" spans="1:80" s="128" customFormat="1" ht="36" x14ac:dyDescent="0.3">
      <c r="A294" s="18">
        <v>4</v>
      </c>
      <c r="B294" s="18" t="s">
        <v>481</v>
      </c>
      <c r="C294" s="19" t="s">
        <v>45</v>
      </c>
      <c r="D294" s="20" t="s">
        <v>482</v>
      </c>
      <c r="E294" s="8" t="s">
        <v>483</v>
      </c>
      <c r="F294" s="82">
        <v>12057.369999999999</v>
      </c>
      <c r="G294" s="82">
        <v>1.01</v>
      </c>
      <c r="H294" s="82">
        <v>12057.369999999999</v>
      </c>
      <c r="I294" s="121">
        <v>1.01</v>
      </c>
      <c r="J294" s="165">
        <v>11500</v>
      </c>
      <c r="K294" s="165"/>
      <c r="L294" s="165"/>
      <c r="M294" s="165">
        <f t="shared" si="1005"/>
        <v>11500</v>
      </c>
      <c r="N294" s="165"/>
      <c r="O294" s="165"/>
      <c r="P294" s="165"/>
      <c r="Q294" s="165">
        <f t="shared" si="1006"/>
        <v>0</v>
      </c>
      <c r="R294" s="165">
        <f t="shared" si="1011"/>
        <v>11500</v>
      </c>
      <c r="S294" s="165">
        <v>1</v>
      </c>
      <c r="V294" s="121">
        <f t="shared" si="1007"/>
        <v>12760.31</v>
      </c>
      <c r="W294" s="125">
        <f t="shared" si="1008"/>
        <v>1.04</v>
      </c>
      <c r="X294" s="111">
        <f t="shared" si="910"/>
        <v>-1260.3099999999995</v>
      </c>
      <c r="Y294" s="111">
        <f t="shared" si="911"/>
        <v>-4.0000000000000036E-2</v>
      </c>
      <c r="Z294" s="111">
        <v>11500</v>
      </c>
      <c r="AA294" s="111"/>
      <c r="AB294" s="111">
        <f t="shared" si="912"/>
        <v>11500</v>
      </c>
      <c r="AC294" s="111">
        <f t="shared" si="913"/>
        <v>0</v>
      </c>
      <c r="AD294" s="165">
        <f t="shared" si="1012"/>
        <v>11500</v>
      </c>
      <c r="AE294" s="165">
        <f t="shared" si="1013"/>
        <v>1</v>
      </c>
      <c r="AF294" s="165">
        <f t="shared" si="916"/>
        <v>0.9</v>
      </c>
      <c r="AG294" s="111">
        <f t="shared" si="917"/>
        <v>2875</v>
      </c>
      <c r="AH294" s="111">
        <f t="shared" si="918"/>
        <v>0</v>
      </c>
      <c r="AI294" s="134">
        <f t="shared" si="919"/>
        <v>958</v>
      </c>
      <c r="AJ294" s="111">
        <f t="shared" si="920"/>
        <v>0</v>
      </c>
      <c r="AK294" s="111"/>
      <c r="AL294" s="111"/>
      <c r="AM294" s="111">
        <f t="shared" si="921"/>
        <v>2875</v>
      </c>
      <c r="AN294" s="111">
        <f t="shared" si="922"/>
        <v>0.24</v>
      </c>
      <c r="AO294" s="111"/>
      <c r="AP294" s="111"/>
      <c r="AQ294" s="166">
        <f t="shared" si="923"/>
        <v>5750</v>
      </c>
      <c r="AR294" s="166">
        <f t="shared" si="924"/>
        <v>0.24</v>
      </c>
      <c r="AS294" s="166"/>
      <c r="AT294" s="166"/>
      <c r="AU294" s="166">
        <f t="shared" si="994"/>
        <v>2875</v>
      </c>
      <c r="AV294" s="166">
        <f>ROUND(AE294*25%,2)-0.25</f>
        <v>0</v>
      </c>
      <c r="AW294" s="166"/>
      <c r="AX294" s="166"/>
      <c r="AY294" s="166">
        <f t="shared" si="925"/>
        <v>9583</v>
      </c>
      <c r="AZ294" s="111">
        <f t="shared" si="926"/>
        <v>0.24</v>
      </c>
      <c r="BA294" s="111">
        <f t="shared" si="927"/>
        <v>9583.24</v>
      </c>
      <c r="BB294" s="152">
        <v>9440.4499999999989</v>
      </c>
      <c r="BC294" s="152"/>
      <c r="BD294" s="152">
        <f t="shared" si="928"/>
        <v>142.55000000000109</v>
      </c>
      <c r="BE294" s="152">
        <f t="shared" si="929"/>
        <v>0.24</v>
      </c>
      <c r="BF294" s="152">
        <f t="shared" si="930"/>
        <v>1888.09</v>
      </c>
      <c r="BG294" s="152">
        <f t="shared" si="931"/>
        <v>0</v>
      </c>
      <c r="BH294" s="111">
        <v>872.77</v>
      </c>
      <c r="BI294" s="111">
        <v>0</v>
      </c>
      <c r="BJ294" s="111">
        <v>4958.76</v>
      </c>
      <c r="BK294" s="111"/>
      <c r="BL294" s="111">
        <f t="shared" si="945"/>
        <v>15414.53</v>
      </c>
      <c r="BM294" s="111">
        <f t="shared" si="953"/>
        <v>0.24</v>
      </c>
      <c r="BN294" s="111">
        <f t="shared" si="954"/>
        <v>15414.77</v>
      </c>
      <c r="BO294" s="111">
        <v>13867.35</v>
      </c>
      <c r="BP294" s="134"/>
      <c r="BQ294" s="111">
        <f t="shared" si="955"/>
        <v>1547.1800000000003</v>
      </c>
      <c r="BR294" s="111">
        <f t="shared" si="956"/>
        <v>0.24</v>
      </c>
      <c r="BS294" s="111">
        <f t="shared" si="957"/>
        <v>1260.67</v>
      </c>
      <c r="BT294" s="111">
        <f t="shared" si="958"/>
        <v>0</v>
      </c>
      <c r="BU294" s="111">
        <v>0</v>
      </c>
      <c r="BV294" s="111">
        <v>0</v>
      </c>
      <c r="BW294" s="111">
        <v>938</v>
      </c>
      <c r="BX294" s="111">
        <v>8.76</v>
      </c>
      <c r="BY294" s="111"/>
      <c r="BZ294" s="111"/>
      <c r="CA294" s="110">
        <f t="shared" si="959"/>
        <v>16352.53</v>
      </c>
      <c r="CB294" s="110">
        <f t="shared" si="960"/>
        <v>9</v>
      </c>
    </row>
    <row r="295" spans="1:80" s="128" customFormat="1" ht="36" x14ac:dyDescent="0.3">
      <c r="A295" s="18">
        <v>5</v>
      </c>
      <c r="B295" s="18" t="s">
        <v>484</v>
      </c>
      <c r="C295" s="19" t="s">
        <v>208</v>
      </c>
      <c r="D295" s="20" t="s">
        <v>485</v>
      </c>
      <c r="E295" s="8" t="s">
        <v>486</v>
      </c>
      <c r="F295" s="82">
        <v>6792.91</v>
      </c>
      <c r="G295" s="82">
        <v>0</v>
      </c>
      <c r="H295" s="82">
        <v>6792.91</v>
      </c>
      <c r="I295" s="121">
        <v>0</v>
      </c>
      <c r="J295" s="165">
        <v>8000</v>
      </c>
      <c r="K295" s="165"/>
      <c r="L295" s="165"/>
      <c r="M295" s="165">
        <f t="shared" si="1005"/>
        <v>8000</v>
      </c>
      <c r="N295" s="165"/>
      <c r="O295" s="165"/>
      <c r="P295" s="165"/>
      <c r="Q295" s="165">
        <f t="shared" si="1006"/>
        <v>0</v>
      </c>
      <c r="R295" s="165">
        <f t="shared" si="1011"/>
        <v>8000</v>
      </c>
      <c r="S295" s="165">
        <v>0</v>
      </c>
      <c r="V295" s="121">
        <f t="shared" si="1007"/>
        <v>7188.94</v>
      </c>
      <c r="W295" s="125">
        <f t="shared" si="1008"/>
        <v>0</v>
      </c>
      <c r="X295" s="111">
        <f t="shared" si="910"/>
        <v>811.0600000000004</v>
      </c>
      <c r="Y295" s="111">
        <f t="shared" si="911"/>
        <v>0</v>
      </c>
      <c r="Z295" s="111">
        <v>7588.94</v>
      </c>
      <c r="AA295" s="111"/>
      <c r="AB295" s="111">
        <f t="shared" si="912"/>
        <v>7588.94</v>
      </c>
      <c r="AC295" s="111">
        <f t="shared" si="913"/>
        <v>0</v>
      </c>
      <c r="AD295" s="113">
        <f>IF(X295&gt;0,V295,R295)+400</f>
        <v>7588.94</v>
      </c>
      <c r="AE295" s="165">
        <f t="shared" si="1013"/>
        <v>0</v>
      </c>
      <c r="AF295" s="165">
        <f t="shared" si="916"/>
        <v>0</v>
      </c>
      <c r="AG295" s="111">
        <f t="shared" si="917"/>
        <v>1897</v>
      </c>
      <c r="AH295" s="111">
        <f t="shared" si="918"/>
        <v>0</v>
      </c>
      <c r="AI295" s="134">
        <f t="shared" si="919"/>
        <v>632</v>
      </c>
      <c r="AJ295" s="111">
        <f t="shared" si="920"/>
        <v>0</v>
      </c>
      <c r="AK295" s="111"/>
      <c r="AL295" s="111"/>
      <c r="AM295" s="111">
        <f t="shared" si="921"/>
        <v>1897.24</v>
      </c>
      <c r="AN295" s="111">
        <f t="shared" si="922"/>
        <v>0</v>
      </c>
      <c r="AO295" s="111"/>
      <c r="AP295" s="111"/>
      <c r="AQ295" s="111">
        <f t="shared" si="923"/>
        <v>3794.24</v>
      </c>
      <c r="AR295" s="111">
        <f t="shared" si="924"/>
        <v>0</v>
      </c>
      <c r="AS295" s="111"/>
      <c r="AT295" s="111"/>
      <c r="AU295" s="111">
        <f t="shared" si="994"/>
        <v>1897.24</v>
      </c>
      <c r="AV295" s="111">
        <f>ROUND(AE295*25%,2)</f>
        <v>0</v>
      </c>
      <c r="AW295" s="111"/>
      <c r="AX295" s="111"/>
      <c r="AY295" s="111">
        <f t="shared" si="925"/>
        <v>6323.48</v>
      </c>
      <c r="AZ295" s="111">
        <f t="shared" si="926"/>
        <v>0</v>
      </c>
      <c r="BA295" s="111">
        <f t="shared" si="927"/>
        <v>6323.48</v>
      </c>
      <c r="BB295" s="152">
        <v>6163.63</v>
      </c>
      <c r="BC295" s="152"/>
      <c r="BD295" s="152">
        <f t="shared" si="928"/>
        <v>159.84999999999945</v>
      </c>
      <c r="BE295" s="152">
        <f t="shared" si="929"/>
        <v>0</v>
      </c>
      <c r="BF295" s="152">
        <f t="shared" si="930"/>
        <v>1232.73</v>
      </c>
      <c r="BG295" s="152">
        <f t="shared" si="931"/>
        <v>0</v>
      </c>
      <c r="BH295" s="111">
        <v>536.44000000000005</v>
      </c>
      <c r="BI295" s="111">
        <v>0</v>
      </c>
      <c r="BJ295" s="111">
        <v>2418.35</v>
      </c>
      <c r="BK295" s="111"/>
      <c r="BL295" s="111">
        <f t="shared" si="945"/>
        <v>9278.27</v>
      </c>
      <c r="BM295" s="111">
        <f t="shared" si="953"/>
        <v>0</v>
      </c>
      <c r="BN295" s="111">
        <f t="shared" si="954"/>
        <v>9278.27</v>
      </c>
      <c r="BO295" s="111">
        <v>8587.7000000000007</v>
      </c>
      <c r="BP295" s="134"/>
      <c r="BQ295" s="111">
        <f t="shared" si="955"/>
        <v>690.56999999999971</v>
      </c>
      <c r="BR295" s="111">
        <f t="shared" si="956"/>
        <v>0</v>
      </c>
      <c r="BS295" s="111">
        <f t="shared" si="957"/>
        <v>780.7</v>
      </c>
      <c r="BT295" s="111">
        <f t="shared" si="958"/>
        <v>0</v>
      </c>
      <c r="BU295" s="111">
        <f>ROUND(BS295-BQ295,2)</f>
        <v>90.13</v>
      </c>
      <c r="BV295" s="111">
        <v>0</v>
      </c>
      <c r="BW295" s="118">
        <v>380</v>
      </c>
      <c r="BX295" s="111"/>
      <c r="BY295" s="111"/>
      <c r="BZ295" s="111"/>
      <c r="CA295" s="110">
        <f t="shared" si="959"/>
        <v>9748.4</v>
      </c>
      <c r="CB295" s="110">
        <f t="shared" si="960"/>
        <v>0</v>
      </c>
    </row>
    <row r="296" spans="1:80" s="128" customFormat="1" ht="36" x14ac:dyDescent="0.3">
      <c r="A296" s="18">
        <v>6</v>
      </c>
      <c r="B296" s="18" t="s">
        <v>487</v>
      </c>
      <c r="C296" s="19" t="s">
        <v>18</v>
      </c>
      <c r="D296" s="20" t="s">
        <v>488</v>
      </c>
      <c r="E296" s="8" t="s">
        <v>489</v>
      </c>
      <c r="F296" s="82">
        <v>7739.75</v>
      </c>
      <c r="G296" s="82">
        <v>2.29</v>
      </c>
      <c r="H296" s="82">
        <v>7739.75</v>
      </c>
      <c r="I296" s="121">
        <v>2.29</v>
      </c>
      <c r="J296" s="165">
        <v>7100</v>
      </c>
      <c r="K296" s="165"/>
      <c r="L296" s="165"/>
      <c r="M296" s="165">
        <f t="shared" si="1005"/>
        <v>7100</v>
      </c>
      <c r="N296" s="165"/>
      <c r="O296" s="165"/>
      <c r="P296" s="165"/>
      <c r="Q296" s="165">
        <f t="shared" si="1006"/>
        <v>0</v>
      </c>
      <c r="R296" s="165">
        <f t="shared" si="1011"/>
        <v>7100</v>
      </c>
      <c r="S296" s="165">
        <v>75</v>
      </c>
      <c r="V296" s="121">
        <f t="shared" si="1007"/>
        <v>8190.98</v>
      </c>
      <c r="W296" s="125">
        <f t="shared" si="1008"/>
        <v>2.36</v>
      </c>
      <c r="X296" s="111">
        <f t="shared" si="910"/>
        <v>-1090.9799999999996</v>
      </c>
      <c r="Y296" s="111">
        <f t="shared" si="911"/>
        <v>72.64</v>
      </c>
      <c r="Z296" s="111">
        <v>7100</v>
      </c>
      <c r="AA296" s="111"/>
      <c r="AB296" s="111">
        <f t="shared" si="912"/>
        <v>7100</v>
      </c>
      <c r="AC296" s="111">
        <f t="shared" si="913"/>
        <v>0</v>
      </c>
      <c r="AD296" s="165">
        <f t="shared" si="1012"/>
        <v>7100</v>
      </c>
      <c r="AE296" s="165">
        <f t="shared" si="1013"/>
        <v>2.36</v>
      </c>
      <c r="AF296" s="165">
        <f t="shared" si="916"/>
        <v>67.67</v>
      </c>
      <c r="AG296" s="111">
        <f t="shared" si="917"/>
        <v>1775</v>
      </c>
      <c r="AH296" s="111">
        <f t="shared" si="918"/>
        <v>1</v>
      </c>
      <c r="AI296" s="134">
        <f t="shared" si="919"/>
        <v>592</v>
      </c>
      <c r="AJ296" s="111">
        <f t="shared" si="920"/>
        <v>0</v>
      </c>
      <c r="AK296" s="111"/>
      <c r="AL296" s="111"/>
      <c r="AM296" s="111">
        <f t="shared" si="921"/>
        <v>1775</v>
      </c>
      <c r="AN296" s="111">
        <f t="shared" si="922"/>
        <v>0.56999999999999995</v>
      </c>
      <c r="AO296" s="111"/>
      <c r="AP296" s="111"/>
      <c r="AQ296" s="111">
        <f t="shared" si="923"/>
        <v>3550</v>
      </c>
      <c r="AR296" s="111">
        <f t="shared" si="924"/>
        <v>1.5699999999999998</v>
      </c>
      <c r="AS296" s="111"/>
      <c r="AT296" s="111"/>
      <c r="AU296" s="111">
        <f t="shared" si="994"/>
        <v>1775</v>
      </c>
      <c r="AV296" s="111">
        <f t="shared" ref="AV296:AV307" si="1014">ROUND(AE296*25%,2)</f>
        <v>0.59</v>
      </c>
      <c r="AW296" s="111">
        <v>28.6</v>
      </c>
      <c r="AX296" s="111">
        <v>20</v>
      </c>
      <c r="AY296" s="111">
        <f t="shared" si="925"/>
        <v>5945.6</v>
      </c>
      <c r="AZ296" s="111">
        <f t="shared" si="926"/>
        <v>22.16</v>
      </c>
      <c r="BA296" s="111">
        <f t="shared" si="927"/>
        <v>5967.76</v>
      </c>
      <c r="BB296" s="152">
        <v>5695.07</v>
      </c>
      <c r="BC296" s="152">
        <v>48.53</v>
      </c>
      <c r="BD296" s="152">
        <f t="shared" si="928"/>
        <v>250.53000000000065</v>
      </c>
      <c r="BE296" s="152">
        <f t="shared" si="929"/>
        <v>-26.37</v>
      </c>
      <c r="BF296" s="152">
        <f t="shared" si="930"/>
        <v>1139.01</v>
      </c>
      <c r="BG296" s="152">
        <f t="shared" si="931"/>
        <v>9.7100000000000009</v>
      </c>
      <c r="BH296" s="111">
        <v>444.24</v>
      </c>
      <c r="BI296" s="111">
        <v>20.29</v>
      </c>
      <c r="BJ296" s="111">
        <v>2223.1999999999998</v>
      </c>
      <c r="BK296" s="111"/>
      <c r="BL296" s="111">
        <f t="shared" si="945"/>
        <v>8613.0400000000009</v>
      </c>
      <c r="BM296" s="111">
        <f t="shared" si="953"/>
        <v>42.45</v>
      </c>
      <c r="BN296" s="111">
        <f t="shared" si="954"/>
        <v>8655.4900000000016</v>
      </c>
      <c r="BO296" s="111">
        <v>5865.42</v>
      </c>
      <c r="BP296" s="134">
        <v>19.95</v>
      </c>
      <c r="BQ296" s="167">
        <f t="shared" si="955"/>
        <v>2747.6200000000008</v>
      </c>
      <c r="BR296" s="111">
        <f t="shared" si="956"/>
        <v>22.500000000000004</v>
      </c>
      <c r="BS296" s="111">
        <f t="shared" si="957"/>
        <v>533.22</v>
      </c>
      <c r="BT296" s="111">
        <f t="shared" si="958"/>
        <v>1.81</v>
      </c>
      <c r="BU296" s="111">
        <v>0</v>
      </c>
      <c r="BV296" s="111">
        <v>0</v>
      </c>
      <c r="BW296" s="111">
        <v>710.16</v>
      </c>
      <c r="BX296" s="111"/>
      <c r="BY296" s="111"/>
      <c r="BZ296" s="111"/>
      <c r="CA296" s="110">
        <f t="shared" si="959"/>
        <v>9323.2000000000007</v>
      </c>
      <c r="CB296" s="110">
        <f t="shared" si="960"/>
        <v>42.45</v>
      </c>
    </row>
    <row r="297" spans="1:80" ht="36" x14ac:dyDescent="0.3">
      <c r="A297" s="18">
        <v>7</v>
      </c>
      <c r="B297" s="18" t="s">
        <v>490</v>
      </c>
      <c r="C297" s="19" t="s">
        <v>279</v>
      </c>
      <c r="D297" s="20" t="s">
        <v>491</v>
      </c>
      <c r="E297" s="21" t="s">
        <v>492</v>
      </c>
      <c r="F297" s="82">
        <v>6328.9599999999991</v>
      </c>
      <c r="G297" s="82">
        <v>0</v>
      </c>
      <c r="H297" s="82">
        <v>6743.9999999999991</v>
      </c>
      <c r="I297" s="22">
        <v>0</v>
      </c>
      <c r="J297" s="89">
        <v>500</v>
      </c>
      <c r="K297" s="89"/>
      <c r="L297" s="89"/>
      <c r="M297" s="89">
        <f t="shared" si="1005"/>
        <v>500</v>
      </c>
      <c r="N297" s="89">
        <v>6200</v>
      </c>
      <c r="O297" s="89"/>
      <c r="P297" s="89"/>
      <c r="Q297" s="89">
        <f t="shared" si="1006"/>
        <v>6200</v>
      </c>
      <c r="R297" s="89">
        <f t="shared" si="1011"/>
        <v>6700</v>
      </c>
      <c r="S297" s="89">
        <v>0</v>
      </c>
      <c r="V297" s="22">
        <f t="shared" si="1007"/>
        <v>7137.18</v>
      </c>
      <c r="W297" s="17">
        <f t="shared" si="1008"/>
        <v>0</v>
      </c>
      <c r="X297" s="110">
        <f t="shared" si="910"/>
        <v>-437.18000000000029</v>
      </c>
      <c r="Y297" s="110">
        <f t="shared" si="911"/>
        <v>0</v>
      </c>
      <c r="Z297" s="110">
        <v>500</v>
      </c>
      <c r="AA297" s="110">
        <v>6200</v>
      </c>
      <c r="AB297" s="110">
        <f t="shared" si="912"/>
        <v>6700</v>
      </c>
      <c r="AC297" s="111">
        <f t="shared" si="913"/>
        <v>0</v>
      </c>
      <c r="AD297" s="89">
        <f t="shared" si="1012"/>
        <v>6700</v>
      </c>
      <c r="AE297" s="89">
        <f t="shared" si="1013"/>
        <v>0</v>
      </c>
      <c r="AF297" s="89">
        <f t="shared" si="916"/>
        <v>0</v>
      </c>
      <c r="AG297" s="110">
        <f t="shared" si="917"/>
        <v>1675</v>
      </c>
      <c r="AH297" s="110">
        <f t="shared" si="918"/>
        <v>0</v>
      </c>
      <c r="AI297" s="129">
        <f t="shared" si="919"/>
        <v>558</v>
      </c>
      <c r="AJ297" s="110">
        <f t="shared" si="920"/>
        <v>0</v>
      </c>
      <c r="AM297" s="110">
        <f t="shared" si="921"/>
        <v>1675</v>
      </c>
      <c r="AN297" s="110">
        <f t="shared" si="922"/>
        <v>0</v>
      </c>
      <c r="AQ297" s="110">
        <f t="shared" si="923"/>
        <v>3350</v>
      </c>
      <c r="AR297" s="110">
        <f t="shared" si="924"/>
        <v>0</v>
      </c>
      <c r="AU297" s="110">
        <f t="shared" si="994"/>
        <v>1675</v>
      </c>
      <c r="AV297" s="118">
        <f t="shared" si="1014"/>
        <v>0</v>
      </c>
      <c r="AW297" s="118"/>
      <c r="AX297" s="146">
        <v>30</v>
      </c>
      <c r="AY297" s="110">
        <f t="shared" si="925"/>
        <v>5583</v>
      </c>
      <c r="AZ297" s="110">
        <f t="shared" si="926"/>
        <v>30</v>
      </c>
      <c r="BA297" s="110">
        <f t="shared" si="927"/>
        <v>5613</v>
      </c>
      <c r="BB297" s="142">
        <v>5550</v>
      </c>
      <c r="BD297" s="142">
        <f t="shared" si="928"/>
        <v>33</v>
      </c>
      <c r="BE297" s="142">
        <f t="shared" si="929"/>
        <v>30</v>
      </c>
      <c r="BF297" s="142">
        <f t="shared" si="930"/>
        <v>1110</v>
      </c>
      <c r="BG297" s="142">
        <f t="shared" si="931"/>
        <v>0</v>
      </c>
      <c r="BH297" s="110">
        <v>538.5</v>
      </c>
      <c r="BI297" s="110">
        <v>0</v>
      </c>
      <c r="BJ297" s="110">
        <v>662.44</v>
      </c>
      <c r="BL297" s="110">
        <f t="shared" si="945"/>
        <v>6783.9400000000005</v>
      </c>
      <c r="BM297" s="110">
        <f t="shared" si="953"/>
        <v>30</v>
      </c>
      <c r="BN297" s="110">
        <f t="shared" si="954"/>
        <v>6813.9400000000005</v>
      </c>
      <c r="BO297" s="110">
        <v>6588</v>
      </c>
      <c r="BP297" s="129"/>
      <c r="BQ297" s="110">
        <f t="shared" si="955"/>
        <v>195.94000000000051</v>
      </c>
      <c r="BR297" s="110">
        <f t="shared" si="956"/>
        <v>30</v>
      </c>
      <c r="BS297" s="110">
        <f t="shared" si="957"/>
        <v>598.91</v>
      </c>
      <c r="BT297" s="110">
        <f t="shared" si="958"/>
        <v>0</v>
      </c>
      <c r="BU297" s="110">
        <f>ROUND(BS297-BQ297,2)</f>
        <v>402.97</v>
      </c>
      <c r="BV297" s="110">
        <v>0</v>
      </c>
      <c r="BW297" s="111">
        <f>165.61+50</f>
        <v>215.61</v>
      </c>
      <c r="CA297" s="110">
        <f t="shared" si="959"/>
        <v>7402.52</v>
      </c>
      <c r="CB297" s="110">
        <f t="shared" si="960"/>
        <v>30</v>
      </c>
    </row>
    <row r="298" spans="1:80" ht="36" x14ac:dyDescent="0.3">
      <c r="A298" s="18">
        <v>8</v>
      </c>
      <c r="B298" s="18" t="s">
        <v>493</v>
      </c>
      <c r="C298" s="19" t="s">
        <v>317</v>
      </c>
      <c r="D298" s="20" t="s">
        <v>494</v>
      </c>
      <c r="E298" s="21" t="s">
        <v>495</v>
      </c>
      <c r="F298" s="82">
        <v>6066.5099999999993</v>
      </c>
      <c r="G298" s="82">
        <v>48.65</v>
      </c>
      <c r="H298" s="82">
        <v>6066.5099999999993</v>
      </c>
      <c r="I298" s="22">
        <v>48.65</v>
      </c>
      <c r="J298" s="89">
        <v>0</v>
      </c>
      <c r="K298" s="89"/>
      <c r="L298" s="89"/>
      <c r="M298" s="89">
        <f t="shared" si="1005"/>
        <v>0</v>
      </c>
      <c r="N298" s="89">
        <v>6945.5429999999997</v>
      </c>
      <c r="O298" s="89"/>
      <c r="P298" s="89"/>
      <c r="Q298" s="89">
        <f t="shared" si="1006"/>
        <v>6945.5429999999997</v>
      </c>
      <c r="R298" s="89">
        <f t="shared" si="1011"/>
        <v>6945.5429999999997</v>
      </c>
      <c r="S298" s="89">
        <v>30</v>
      </c>
      <c r="V298" s="22">
        <f t="shared" si="1007"/>
        <v>6420.19</v>
      </c>
      <c r="W298" s="17">
        <f t="shared" si="1008"/>
        <v>50.24</v>
      </c>
      <c r="X298" s="110">
        <f t="shared" si="910"/>
        <v>525.35300000000007</v>
      </c>
      <c r="Y298" s="110">
        <f t="shared" si="911"/>
        <v>-20.240000000000002</v>
      </c>
      <c r="Z298" s="110">
        <v>0</v>
      </c>
      <c r="AA298" s="110">
        <v>6420.19</v>
      </c>
      <c r="AB298" s="110">
        <f t="shared" si="912"/>
        <v>6420.19</v>
      </c>
      <c r="AC298" s="111">
        <f t="shared" si="913"/>
        <v>0</v>
      </c>
      <c r="AD298" s="89">
        <f t="shared" si="1012"/>
        <v>6420.19</v>
      </c>
      <c r="AE298" s="89">
        <f t="shared" si="1013"/>
        <v>30</v>
      </c>
      <c r="AF298" s="89">
        <f t="shared" si="916"/>
        <v>27.07</v>
      </c>
      <c r="AG298" s="110">
        <f t="shared" si="917"/>
        <v>1605</v>
      </c>
      <c r="AH298" s="110">
        <f t="shared" si="918"/>
        <v>8</v>
      </c>
      <c r="AI298" s="129">
        <f t="shared" si="919"/>
        <v>535</v>
      </c>
      <c r="AJ298" s="110">
        <v>0</v>
      </c>
      <c r="AM298" s="110">
        <f t="shared" si="921"/>
        <v>1605.05</v>
      </c>
      <c r="AN298" s="110">
        <f t="shared" si="922"/>
        <v>7.31</v>
      </c>
      <c r="AQ298" s="110">
        <f t="shared" si="923"/>
        <v>3210.05</v>
      </c>
      <c r="AR298" s="110">
        <f t="shared" si="924"/>
        <v>15.309999999999999</v>
      </c>
      <c r="AU298" s="110">
        <f t="shared" si="994"/>
        <v>1605.05</v>
      </c>
      <c r="AV298" s="118">
        <f t="shared" si="1014"/>
        <v>7.5</v>
      </c>
      <c r="AW298" s="118"/>
      <c r="AX298" s="118"/>
      <c r="AY298" s="110">
        <f t="shared" si="925"/>
        <v>5350.1</v>
      </c>
      <c r="AZ298" s="110">
        <f t="shared" si="926"/>
        <v>22.81</v>
      </c>
      <c r="BA298" s="110">
        <f t="shared" si="927"/>
        <v>5372.9100000000008</v>
      </c>
      <c r="BB298" s="142">
        <v>5297.56</v>
      </c>
      <c r="BC298" s="142">
        <v>25.05</v>
      </c>
      <c r="BD298" s="142">
        <f t="shared" si="928"/>
        <v>52.539999999999964</v>
      </c>
      <c r="BE298" s="142">
        <f t="shared" si="929"/>
        <v>-2.240000000000002</v>
      </c>
      <c r="BF298" s="142">
        <f t="shared" si="930"/>
        <v>1059.51</v>
      </c>
      <c r="BG298" s="142">
        <f t="shared" si="931"/>
        <v>5.01</v>
      </c>
      <c r="BH298" s="110">
        <v>503.49</v>
      </c>
      <c r="BI298" s="110">
        <v>3.6</v>
      </c>
      <c r="BJ298" s="110">
        <v>163.66</v>
      </c>
      <c r="BL298" s="110">
        <f t="shared" si="945"/>
        <v>6017.25</v>
      </c>
      <c r="BM298" s="110">
        <f t="shared" si="953"/>
        <v>26.41</v>
      </c>
      <c r="BN298" s="110">
        <f t="shared" si="954"/>
        <v>6043.66</v>
      </c>
      <c r="BO298" s="110">
        <v>5849.44</v>
      </c>
      <c r="BP298" s="129">
        <v>25.05</v>
      </c>
      <c r="BQ298" s="110">
        <f t="shared" si="955"/>
        <v>167.8100000000004</v>
      </c>
      <c r="BR298" s="110">
        <f t="shared" si="956"/>
        <v>1.3599999999999994</v>
      </c>
      <c r="BS298" s="110">
        <f t="shared" si="957"/>
        <v>531.77</v>
      </c>
      <c r="BT298" s="110">
        <f t="shared" si="958"/>
        <v>2.2799999999999998</v>
      </c>
      <c r="BU298" s="110">
        <f t="shared" si="974"/>
        <v>363.95999999999958</v>
      </c>
      <c r="BV298" s="110">
        <v>0</v>
      </c>
      <c r="BW298" s="111">
        <f>279.42+40.92</f>
        <v>320.34000000000003</v>
      </c>
      <c r="CA298" s="110">
        <f t="shared" si="959"/>
        <v>6701.5499999999993</v>
      </c>
      <c r="CB298" s="110">
        <f t="shared" si="960"/>
        <v>26.41</v>
      </c>
    </row>
    <row r="299" spans="1:80" ht="36" x14ac:dyDescent="0.3">
      <c r="A299" s="18">
        <v>9</v>
      </c>
      <c r="B299" s="18" t="s">
        <v>496</v>
      </c>
      <c r="C299" s="19" t="s">
        <v>13</v>
      </c>
      <c r="D299" s="20" t="s">
        <v>497</v>
      </c>
      <c r="E299" s="21" t="s">
        <v>498</v>
      </c>
      <c r="F299" s="82">
        <v>10237.170000000002</v>
      </c>
      <c r="G299" s="82">
        <v>0</v>
      </c>
      <c r="H299" s="82">
        <v>11584.000000000002</v>
      </c>
      <c r="I299" s="22">
        <v>0</v>
      </c>
      <c r="J299" s="89">
        <v>10421.379999999999</v>
      </c>
      <c r="K299" s="89"/>
      <c r="L299" s="89"/>
      <c r="M299" s="89">
        <f t="shared" si="1005"/>
        <v>10421.379999999999</v>
      </c>
      <c r="N299" s="89"/>
      <c r="O299" s="89"/>
      <c r="P299" s="89"/>
      <c r="Q299" s="89">
        <f t="shared" si="1006"/>
        <v>0</v>
      </c>
      <c r="R299" s="89">
        <f t="shared" si="1011"/>
        <v>10421.379999999999</v>
      </c>
      <c r="S299" s="89"/>
      <c r="V299" s="22">
        <f t="shared" si="1007"/>
        <v>12259.35</v>
      </c>
      <c r="W299" s="17">
        <f t="shared" si="1008"/>
        <v>0</v>
      </c>
      <c r="X299" s="110">
        <f t="shared" si="910"/>
        <v>-1837.9700000000012</v>
      </c>
      <c r="Y299" s="110">
        <f t="shared" si="911"/>
        <v>0</v>
      </c>
      <c r="Z299" s="110">
        <v>10421.379999999999</v>
      </c>
      <c r="AA299" s="110"/>
      <c r="AB299" s="110">
        <f t="shared" si="912"/>
        <v>10421.379999999999</v>
      </c>
      <c r="AC299" s="111">
        <f t="shared" si="913"/>
        <v>0</v>
      </c>
      <c r="AD299" s="89">
        <f t="shared" si="1012"/>
        <v>10421.379999999999</v>
      </c>
      <c r="AE299" s="89">
        <f t="shared" si="1013"/>
        <v>0</v>
      </c>
      <c r="AF299" s="89">
        <f t="shared" si="916"/>
        <v>0</v>
      </c>
      <c r="AG299" s="110">
        <f t="shared" si="917"/>
        <v>2605</v>
      </c>
      <c r="AH299" s="110">
        <f t="shared" si="918"/>
        <v>0</v>
      </c>
      <c r="AI299" s="129">
        <f t="shared" si="919"/>
        <v>868</v>
      </c>
      <c r="AJ299" s="110">
        <v>3</v>
      </c>
      <c r="AM299" s="110">
        <f t="shared" si="921"/>
        <v>2605.35</v>
      </c>
      <c r="AN299" s="110">
        <f t="shared" si="922"/>
        <v>0</v>
      </c>
      <c r="AQ299" s="110">
        <f t="shared" si="923"/>
        <v>5210.3500000000004</v>
      </c>
      <c r="AR299" s="110">
        <f t="shared" si="924"/>
        <v>0</v>
      </c>
      <c r="AU299" s="110">
        <f t="shared" si="994"/>
        <v>2605.35</v>
      </c>
      <c r="AV299" s="110">
        <f t="shared" si="1014"/>
        <v>0</v>
      </c>
      <c r="AY299" s="110">
        <f t="shared" si="925"/>
        <v>8683.7000000000007</v>
      </c>
      <c r="AZ299" s="110">
        <f t="shared" si="926"/>
        <v>3</v>
      </c>
      <c r="BA299" s="110">
        <f t="shared" si="927"/>
        <v>8686.7000000000007</v>
      </c>
      <c r="BB299" s="142">
        <v>8662.08</v>
      </c>
      <c r="BD299" s="142">
        <f t="shared" si="928"/>
        <v>21.6200000000008</v>
      </c>
      <c r="BE299" s="142">
        <f t="shared" si="929"/>
        <v>3</v>
      </c>
      <c r="BF299" s="142">
        <f t="shared" si="930"/>
        <v>1732.42</v>
      </c>
      <c r="BG299" s="142">
        <f t="shared" si="931"/>
        <v>0</v>
      </c>
      <c r="BH299" s="110">
        <v>855.4</v>
      </c>
      <c r="BI299" s="110">
        <v>0</v>
      </c>
      <c r="BJ299" s="110">
        <v>2404.34</v>
      </c>
      <c r="BL299" s="110">
        <f t="shared" si="945"/>
        <v>11943.44</v>
      </c>
      <c r="BM299" s="110">
        <f t="shared" si="953"/>
        <v>3</v>
      </c>
      <c r="BN299" s="110">
        <f t="shared" si="954"/>
        <v>11946.44</v>
      </c>
      <c r="BO299" s="110">
        <v>11928.22</v>
      </c>
      <c r="BP299" s="129"/>
      <c r="BQ299" s="110">
        <f t="shared" si="955"/>
        <v>15.220000000001164</v>
      </c>
      <c r="BR299" s="110">
        <f t="shared" si="956"/>
        <v>3</v>
      </c>
      <c r="BS299" s="110">
        <f t="shared" si="957"/>
        <v>1084.3800000000001</v>
      </c>
      <c r="BT299" s="110">
        <f t="shared" si="958"/>
        <v>0</v>
      </c>
      <c r="BU299" s="110">
        <v>875</v>
      </c>
      <c r="BV299" s="110">
        <v>0</v>
      </c>
      <c r="BW299" s="111">
        <f>1493+650</f>
        <v>2143</v>
      </c>
      <c r="CA299" s="110">
        <f t="shared" si="959"/>
        <v>14961.44</v>
      </c>
      <c r="CB299" s="110">
        <f t="shared" si="960"/>
        <v>3</v>
      </c>
    </row>
    <row r="300" spans="1:80" ht="36" x14ac:dyDescent="0.3">
      <c r="A300" s="18">
        <v>10</v>
      </c>
      <c r="B300" s="18" t="s">
        <v>499</v>
      </c>
      <c r="C300" s="19" t="s">
        <v>94</v>
      </c>
      <c r="D300" s="20" t="s">
        <v>500</v>
      </c>
      <c r="E300" s="21" t="s">
        <v>501</v>
      </c>
      <c r="F300" s="82">
        <v>8485.7300000000014</v>
      </c>
      <c r="G300" s="82">
        <v>83</v>
      </c>
      <c r="H300" s="82">
        <v>9472.7300000000014</v>
      </c>
      <c r="I300" s="22">
        <v>83</v>
      </c>
      <c r="J300" s="89">
        <v>8386.9500000000007</v>
      </c>
      <c r="K300" s="89"/>
      <c r="L300" s="89"/>
      <c r="M300" s="89">
        <f t="shared" si="1005"/>
        <v>8386.9500000000007</v>
      </c>
      <c r="N300" s="89"/>
      <c r="O300" s="89"/>
      <c r="P300" s="89"/>
      <c r="Q300" s="89">
        <f t="shared" si="1006"/>
        <v>0</v>
      </c>
      <c r="R300" s="89">
        <f t="shared" si="1011"/>
        <v>8386.9500000000007</v>
      </c>
      <c r="S300" s="89"/>
      <c r="V300" s="22">
        <f t="shared" si="1007"/>
        <v>10024.99</v>
      </c>
      <c r="W300" s="17">
        <f t="shared" si="1008"/>
        <v>85.71</v>
      </c>
      <c r="X300" s="110">
        <f t="shared" si="910"/>
        <v>-1638.0399999999991</v>
      </c>
      <c r="Y300" s="110">
        <f t="shared" si="911"/>
        <v>-85.71</v>
      </c>
      <c r="Z300" s="110">
        <v>8386.9500000000007</v>
      </c>
      <c r="AA300" s="110"/>
      <c r="AB300" s="110">
        <f t="shared" si="912"/>
        <v>8386.9500000000007</v>
      </c>
      <c r="AC300" s="111">
        <f t="shared" si="913"/>
        <v>0</v>
      </c>
      <c r="AD300" s="89">
        <f t="shared" si="1012"/>
        <v>8386.9500000000007</v>
      </c>
      <c r="AE300" s="89">
        <f t="shared" si="1013"/>
        <v>0</v>
      </c>
      <c r="AF300" s="89">
        <f t="shared" si="916"/>
        <v>0</v>
      </c>
      <c r="AG300" s="110">
        <f t="shared" si="917"/>
        <v>2097</v>
      </c>
      <c r="AH300" s="110">
        <f t="shared" si="918"/>
        <v>0</v>
      </c>
      <c r="AI300" s="129">
        <f t="shared" si="919"/>
        <v>699</v>
      </c>
      <c r="AJ300" s="110">
        <f t="shared" si="920"/>
        <v>0</v>
      </c>
      <c r="AM300" s="110">
        <f t="shared" si="921"/>
        <v>2096.7399999999998</v>
      </c>
      <c r="AN300" s="110">
        <f t="shared" si="922"/>
        <v>0</v>
      </c>
      <c r="AQ300" s="110">
        <f t="shared" si="923"/>
        <v>4193.74</v>
      </c>
      <c r="AR300" s="110">
        <f t="shared" si="924"/>
        <v>0</v>
      </c>
      <c r="AU300" s="110">
        <f t="shared" si="994"/>
        <v>2096.7399999999998</v>
      </c>
      <c r="AV300" s="110">
        <f t="shared" si="1014"/>
        <v>0</v>
      </c>
      <c r="AY300" s="110">
        <f t="shared" si="925"/>
        <v>6989.48</v>
      </c>
      <c r="AZ300" s="110">
        <f t="shared" si="926"/>
        <v>0</v>
      </c>
      <c r="BA300" s="110">
        <f t="shared" si="927"/>
        <v>6989.48</v>
      </c>
      <c r="BB300" s="159">
        <v>5451.17</v>
      </c>
      <c r="BD300" s="159">
        <f t="shared" si="928"/>
        <v>1538.3099999999995</v>
      </c>
      <c r="BE300" s="142">
        <f t="shared" si="929"/>
        <v>0</v>
      </c>
      <c r="BF300" s="142">
        <f t="shared" si="930"/>
        <v>1090.23</v>
      </c>
      <c r="BG300" s="142">
        <f t="shared" si="931"/>
        <v>0</v>
      </c>
      <c r="BH300" s="110">
        <v>0</v>
      </c>
      <c r="BI300" s="110">
        <v>0</v>
      </c>
      <c r="BJ300" s="110">
        <v>2790.17</v>
      </c>
      <c r="BL300" s="110">
        <f t="shared" si="945"/>
        <v>9779.65</v>
      </c>
      <c r="BM300" s="110">
        <f t="shared" si="953"/>
        <v>0</v>
      </c>
      <c r="BN300" s="110">
        <f t="shared" si="954"/>
        <v>9779.65</v>
      </c>
      <c r="BO300" s="110">
        <v>9361.35</v>
      </c>
      <c r="BP300" s="129"/>
      <c r="BQ300" s="110">
        <f t="shared" si="955"/>
        <v>418.29999999999927</v>
      </c>
      <c r="BR300" s="110">
        <f t="shared" si="956"/>
        <v>0</v>
      </c>
      <c r="BS300" s="110">
        <f t="shared" si="957"/>
        <v>851.03</v>
      </c>
      <c r="BT300" s="110">
        <f t="shared" si="958"/>
        <v>0</v>
      </c>
      <c r="BU300" s="111">
        <v>250</v>
      </c>
      <c r="BV300" s="110">
        <f t="shared" ref="BV300:BV309" si="1015">BT300-BR300</f>
        <v>0</v>
      </c>
      <c r="CA300" s="110">
        <f t="shared" si="959"/>
        <v>10029.65</v>
      </c>
      <c r="CB300" s="110">
        <f t="shared" si="960"/>
        <v>0</v>
      </c>
    </row>
    <row r="301" spans="1:80" ht="18" x14ac:dyDescent="0.3">
      <c r="A301" s="18">
        <v>11</v>
      </c>
      <c r="B301" s="18" t="s">
        <v>502</v>
      </c>
      <c r="C301" s="19" t="s">
        <v>89</v>
      </c>
      <c r="D301" s="20" t="s">
        <v>503</v>
      </c>
      <c r="E301" s="21" t="s">
        <v>504</v>
      </c>
      <c r="F301" s="82">
        <v>9468</v>
      </c>
      <c r="G301" s="82">
        <v>55.88</v>
      </c>
      <c r="H301" s="82">
        <v>9468</v>
      </c>
      <c r="I301" s="22">
        <v>55.88</v>
      </c>
      <c r="J301" s="89">
        <v>9017.85</v>
      </c>
      <c r="K301" s="89"/>
      <c r="L301" s="89"/>
      <c r="M301" s="89">
        <f t="shared" si="1005"/>
        <v>9017.85</v>
      </c>
      <c r="N301" s="89"/>
      <c r="O301" s="89"/>
      <c r="P301" s="89"/>
      <c r="Q301" s="89">
        <f t="shared" si="1006"/>
        <v>0</v>
      </c>
      <c r="R301" s="89">
        <f t="shared" si="1011"/>
        <v>9017.85</v>
      </c>
      <c r="S301" s="89">
        <v>65</v>
      </c>
      <c r="V301" s="22">
        <f t="shared" si="1007"/>
        <v>10019.98</v>
      </c>
      <c r="W301" s="17">
        <f t="shared" si="1008"/>
        <v>57.71</v>
      </c>
      <c r="X301" s="110">
        <f t="shared" si="910"/>
        <v>-1002.1299999999992</v>
      </c>
      <c r="Y301" s="110">
        <f t="shared" si="911"/>
        <v>7.2899999999999991</v>
      </c>
      <c r="Z301" s="110">
        <v>9017.85</v>
      </c>
      <c r="AA301" s="110"/>
      <c r="AB301" s="110">
        <f t="shared" si="912"/>
        <v>9017.85</v>
      </c>
      <c r="AC301" s="111">
        <f t="shared" si="913"/>
        <v>0</v>
      </c>
      <c r="AD301" s="89">
        <f t="shared" si="1012"/>
        <v>9017.85</v>
      </c>
      <c r="AE301" s="89">
        <f t="shared" si="1013"/>
        <v>57.71</v>
      </c>
      <c r="AF301" s="89">
        <f t="shared" si="916"/>
        <v>58.64</v>
      </c>
      <c r="AG301" s="110">
        <f t="shared" si="917"/>
        <v>2254</v>
      </c>
      <c r="AH301" s="110">
        <f t="shared" si="918"/>
        <v>14</v>
      </c>
      <c r="AI301" s="129">
        <f t="shared" si="919"/>
        <v>751</v>
      </c>
      <c r="AJ301" s="110">
        <v>0</v>
      </c>
      <c r="AM301" s="110">
        <f t="shared" si="921"/>
        <v>2254.46</v>
      </c>
      <c r="AN301" s="110">
        <f>ROUND(AE301*24.35%,2)+1.23</f>
        <v>15.280000000000001</v>
      </c>
      <c r="AQ301" s="154">
        <f t="shared" si="923"/>
        <v>4508.46</v>
      </c>
      <c r="AR301" s="154">
        <f t="shared" si="924"/>
        <v>29.28</v>
      </c>
      <c r="AS301" s="154"/>
      <c r="AT301" s="154"/>
      <c r="AU301" s="154">
        <f t="shared" si="994"/>
        <v>2254.46</v>
      </c>
      <c r="AV301" s="154">
        <f t="shared" si="1014"/>
        <v>14.43</v>
      </c>
      <c r="AW301" s="154"/>
      <c r="AY301" s="110">
        <f t="shared" si="925"/>
        <v>7513.92</v>
      </c>
      <c r="AZ301" s="110">
        <f t="shared" si="926"/>
        <v>43.71</v>
      </c>
      <c r="BA301" s="110">
        <f t="shared" si="927"/>
        <v>7557.63</v>
      </c>
      <c r="BB301" s="142">
        <v>6232.9800000000005</v>
      </c>
      <c r="BC301" s="142">
        <v>46.3</v>
      </c>
      <c r="BD301" s="142">
        <f t="shared" si="928"/>
        <v>1280.9399999999996</v>
      </c>
      <c r="BE301" s="142">
        <f t="shared" si="929"/>
        <v>-2.5899999999999963</v>
      </c>
      <c r="BF301" s="142">
        <f t="shared" si="930"/>
        <v>1246.5999999999999</v>
      </c>
      <c r="BG301" s="142">
        <f t="shared" si="931"/>
        <v>9.26</v>
      </c>
      <c r="BH301" s="110">
        <v>0</v>
      </c>
      <c r="BI301" s="110">
        <v>5.93</v>
      </c>
      <c r="BJ301" s="110">
        <v>2932.9</v>
      </c>
      <c r="BL301" s="110">
        <f t="shared" si="945"/>
        <v>10446.82</v>
      </c>
      <c r="BM301" s="110">
        <f t="shared" si="953"/>
        <v>49.64</v>
      </c>
      <c r="BN301" s="110">
        <f t="shared" si="954"/>
        <v>10496.46</v>
      </c>
      <c r="BO301" s="110">
        <v>9195.98</v>
      </c>
      <c r="BP301" s="129">
        <v>50.05</v>
      </c>
      <c r="BQ301" s="110">
        <f t="shared" si="955"/>
        <v>1250.8400000000001</v>
      </c>
      <c r="BR301" s="110">
        <f t="shared" si="956"/>
        <v>-0.40999999999999659</v>
      </c>
      <c r="BS301" s="110">
        <f t="shared" si="957"/>
        <v>836</v>
      </c>
      <c r="BT301" s="110">
        <f t="shared" si="958"/>
        <v>4.55</v>
      </c>
      <c r="BU301" s="110">
        <v>0</v>
      </c>
      <c r="BV301" s="167">
        <v>7.89</v>
      </c>
      <c r="BW301" s="167">
        <v>1093.9100000000001</v>
      </c>
      <c r="BX301" s="167"/>
      <c r="BY301" s="167"/>
      <c r="BZ301" s="167"/>
      <c r="CA301" s="110">
        <f t="shared" si="959"/>
        <v>11540.73</v>
      </c>
      <c r="CB301" s="110">
        <f t="shared" si="960"/>
        <v>57.53</v>
      </c>
    </row>
    <row r="302" spans="1:80" ht="36" x14ac:dyDescent="0.3">
      <c r="A302" s="18">
        <v>12</v>
      </c>
      <c r="B302" s="18" t="s">
        <v>505</v>
      </c>
      <c r="C302" s="19" t="s">
        <v>99</v>
      </c>
      <c r="D302" s="20" t="s">
        <v>506</v>
      </c>
      <c r="E302" s="21" t="s">
        <v>507</v>
      </c>
      <c r="F302" s="82">
        <v>7408.1800000000012</v>
      </c>
      <c r="G302" s="82">
        <v>4.88</v>
      </c>
      <c r="H302" s="82">
        <v>7520.1800000000012</v>
      </c>
      <c r="I302" s="22">
        <v>4.88</v>
      </c>
      <c r="J302" s="89">
        <v>7850.46</v>
      </c>
      <c r="K302" s="89"/>
      <c r="L302" s="89"/>
      <c r="M302" s="89">
        <f t="shared" si="1005"/>
        <v>7850.46</v>
      </c>
      <c r="N302" s="89"/>
      <c r="O302" s="89"/>
      <c r="P302" s="89"/>
      <c r="Q302" s="89">
        <f t="shared" si="1006"/>
        <v>0</v>
      </c>
      <c r="R302" s="89">
        <f t="shared" si="1011"/>
        <v>7850.46</v>
      </c>
      <c r="S302" s="89">
        <v>9</v>
      </c>
      <c r="V302" s="22">
        <f t="shared" si="1007"/>
        <v>7958.61</v>
      </c>
      <c r="W302" s="17">
        <f t="shared" si="1008"/>
        <v>5.04</v>
      </c>
      <c r="X302" s="110">
        <f t="shared" si="910"/>
        <v>-108.14999999999964</v>
      </c>
      <c r="Y302" s="110">
        <f t="shared" si="911"/>
        <v>3.96</v>
      </c>
      <c r="Z302" s="110">
        <v>7850.46</v>
      </c>
      <c r="AA302" s="110"/>
      <c r="AB302" s="110">
        <f t="shared" si="912"/>
        <v>7850.46</v>
      </c>
      <c r="AC302" s="111">
        <f t="shared" si="913"/>
        <v>0</v>
      </c>
      <c r="AD302" s="89">
        <f t="shared" si="1012"/>
        <v>7850.46</v>
      </c>
      <c r="AE302" s="89">
        <f t="shared" si="1013"/>
        <v>5.04</v>
      </c>
      <c r="AF302" s="89">
        <f t="shared" si="916"/>
        <v>8.1199999999999992</v>
      </c>
      <c r="AG302" s="110">
        <f t="shared" si="917"/>
        <v>1963</v>
      </c>
      <c r="AH302" s="110">
        <f t="shared" si="918"/>
        <v>1</v>
      </c>
      <c r="AI302" s="129">
        <f t="shared" si="919"/>
        <v>654</v>
      </c>
      <c r="AJ302" s="110">
        <v>5</v>
      </c>
      <c r="AM302" s="110">
        <f t="shared" si="921"/>
        <v>1962.62</v>
      </c>
      <c r="AN302" s="110">
        <v>0</v>
      </c>
      <c r="AQ302" s="154">
        <f t="shared" si="923"/>
        <v>3925.62</v>
      </c>
      <c r="AR302" s="154">
        <f t="shared" si="924"/>
        <v>1</v>
      </c>
      <c r="AS302" s="154"/>
      <c r="AT302" s="154"/>
      <c r="AU302" s="154">
        <f t="shared" si="994"/>
        <v>1962.62</v>
      </c>
      <c r="AV302" s="154">
        <f>ROUND(AE302*25%,2)-1.26</f>
        <v>0</v>
      </c>
      <c r="AW302" s="154"/>
      <c r="AX302" s="144"/>
      <c r="AY302" s="110">
        <f t="shared" si="925"/>
        <v>6542.24</v>
      </c>
      <c r="AZ302" s="110">
        <f t="shared" si="926"/>
        <v>6</v>
      </c>
      <c r="BA302" s="110">
        <f t="shared" si="927"/>
        <v>6548.24</v>
      </c>
      <c r="BB302" s="159">
        <v>6482.2</v>
      </c>
      <c r="BC302" s="142">
        <v>1.05</v>
      </c>
      <c r="BD302" s="142">
        <f t="shared" si="928"/>
        <v>60.039999999999964</v>
      </c>
      <c r="BE302" s="142">
        <f t="shared" si="929"/>
        <v>4.95</v>
      </c>
      <c r="BF302" s="142">
        <f t="shared" si="930"/>
        <v>1296.44</v>
      </c>
      <c r="BG302" s="142">
        <f t="shared" si="931"/>
        <v>0.21</v>
      </c>
      <c r="BH302" s="144">
        <v>618.20000000000005</v>
      </c>
      <c r="BI302" s="110">
        <v>0</v>
      </c>
      <c r="BJ302" s="110">
        <v>787.88</v>
      </c>
      <c r="BL302" s="110">
        <f t="shared" si="945"/>
        <v>7948.32</v>
      </c>
      <c r="BM302" s="110">
        <f t="shared" si="953"/>
        <v>6</v>
      </c>
      <c r="BN302" s="110">
        <f t="shared" si="954"/>
        <v>7954.32</v>
      </c>
      <c r="BO302" s="110">
        <v>7657.94</v>
      </c>
      <c r="BP302" s="129">
        <v>2.64</v>
      </c>
      <c r="BQ302" s="110">
        <f t="shared" si="955"/>
        <v>290.38000000000011</v>
      </c>
      <c r="BR302" s="110">
        <f t="shared" si="956"/>
        <v>3.36</v>
      </c>
      <c r="BS302" s="110">
        <f t="shared" si="957"/>
        <v>696.18</v>
      </c>
      <c r="BT302" s="110">
        <f t="shared" si="958"/>
        <v>0.24</v>
      </c>
      <c r="BU302" s="110">
        <f t="shared" si="974"/>
        <v>405.79999999999984</v>
      </c>
      <c r="BV302" s="110">
        <v>0</v>
      </c>
      <c r="BY302" s="110">
        <v>3.14</v>
      </c>
      <c r="CA302" s="110">
        <f t="shared" si="959"/>
        <v>8354.119999999999</v>
      </c>
      <c r="CB302" s="110">
        <f>+BM302+BV302+BX302-BY302</f>
        <v>2.86</v>
      </c>
    </row>
    <row r="303" spans="1:80" ht="18" hidden="1" x14ac:dyDescent="0.3">
      <c r="A303" s="69">
        <v>13</v>
      </c>
      <c r="B303" s="69"/>
      <c r="C303" s="70"/>
      <c r="D303" s="71" t="s">
        <v>508</v>
      </c>
      <c r="E303" s="72"/>
      <c r="F303" s="82">
        <v>0</v>
      </c>
      <c r="G303" s="82">
        <v>0</v>
      </c>
      <c r="H303" s="82">
        <v>0</v>
      </c>
      <c r="I303" s="73">
        <v>0</v>
      </c>
      <c r="J303" s="101"/>
      <c r="K303" s="88"/>
      <c r="L303" s="88"/>
      <c r="M303" s="88"/>
      <c r="N303" s="88"/>
      <c r="O303" s="88"/>
      <c r="P303" s="88"/>
      <c r="Q303" s="88"/>
      <c r="R303" s="88"/>
      <c r="S303" s="88"/>
      <c r="V303" s="73">
        <v>0</v>
      </c>
      <c r="W303" s="17">
        <f t="shared" ref="W303:W307" si="1016">+U303+V303</f>
        <v>0</v>
      </c>
      <c r="X303" s="110">
        <f t="shared" si="910"/>
        <v>0</v>
      </c>
      <c r="Y303" s="110">
        <f t="shared" si="911"/>
        <v>0</v>
      </c>
      <c r="Z303" s="110"/>
      <c r="AA303" s="110"/>
      <c r="AB303" s="110">
        <f t="shared" si="912"/>
        <v>0</v>
      </c>
      <c r="AC303" s="111">
        <f t="shared" si="913"/>
        <v>0</v>
      </c>
      <c r="AD303" s="110"/>
      <c r="AE303" s="110"/>
      <c r="AF303" s="110">
        <f t="shared" si="916"/>
        <v>0</v>
      </c>
      <c r="AG303" s="110">
        <f t="shared" si="917"/>
        <v>0</v>
      </c>
      <c r="AH303" s="110">
        <f t="shared" si="918"/>
        <v>0</v>
      </c>
      <c r="AI303" s="129">
        <f t="shared" si="919"/>
        <v>0</v>
      </c>
      <c r="AJ303" s="110">
        <f t="shared" si="920"/>
        <v>0</v>
      </c>
      <c r="AM303" s="110">
        <f t="shared" si="921"/>
        <v>0</v>
      </c>
      <c r="AN303" s="110">
        <f t="shared" si="922"/>
        <v>0</v>
      </c>
      <c r="AQ303" s="110">
        <f t="shared" si="923"/>
        <v>0</v>
      </c>
      <c r="AR303" s="110">
        <f t="shared" si="924"/>
        <v>0</v>
      </c>
      <c r="AU303" s="110">
        <f t="shared" si="994"/>
        <v>0</v>
      </c>
      <c r="AV303" s="110">
        <f t="shared" si="1014"/>
        <v>0</v>
      </c>
      <c r="AY303" s="110">
        <f t="shared" si="925"/>
        <v>0</v>
      </c>
      <c r="AZ303" s="110">
        <f t="shared" si="926"/>
        <v>0</v>
      </c>
      <c r="BA303" s="110">
        <f t="shared" si="927"/>
        <v>0</v>
      </c>
      <c r="BD303" s="142">
        <f t="shared" si="928"/>
        <v>0</v>
      </c>
      <c r="BE303" s="142">
        <f t="shared" si="929"/>
        <v>0</v>
      </c>
      <c r="BF303" s="142">
        <f t="shared" si="930"/>
        <v>0</v>
      </c>
      <c r="BG303" s="142">
        <f t="shared" si="931"/>
        <v>0</v>
      </c>
      <c r="BH303" s="110">
        <v>0</v>
      </c>
      <c r="BI303" s="110">
        <v>0</v>
      </c>
      <c r="BL303" s="110">
        <f t="shared" si="945"/>
        <v>0</v>
      </c>
      <c r="BM303" s="110">
        <f t="shared" si="953"/>
        <v>0</v>
      </c>
      <c r="BN303" s="110">
        <f t="shared" si="954"/>
        <v>0</v>
      </c>
      <c r="BO303" s="110">
        <v>0</v>
      </c>
      <c r="BP303" s="129"/>
      <c r="BQ303" s="110">
        <f t="shared" si="955"/>
        <v>0</v>
      </c>
      <c r="BR303" s="110">
        <f t="shared" si="956"/>
        <v>0</v>
      </c>
      <c r="BS303" s="110">
        <f t="shared" si="957"/>
        <v>0</v>
      </c>
      <c r="BT303" s="110">
        <f t="shared" si="958"/>
        <v>0</v>
      </c>
      <c r="BU303" s="110">
        <f t="shared" si="974"/>
        <v>0</v>
      </c>
      <c r="BV303" s="110">
        <f t="shared" si="1015"/>
        <v>0</v>
      </c>
      <c r="CA303" s="110">
        <f t="shared" si="959"/>
        <v>0</v>
      </c>
      <c r="CB303" s="110">
        <f t="shared" si="960"/>
        <v>0</v>
      </c>
    </row>
    <row r="304" spans="1:80" ht="18" hidden="1" x14ac:dyDescent="0.3">
      <c r="A304" s="69">
        <v>14</v>
      </c>
      <c r="B304" s="69"/>
      <c r="C304" s="70"/>
      <c r="D304" s="15" t="s">
        <v>509</v>
      </c>
      <c r="E304" s="16"/>
      <c r="F304" s="82">
        <v>0</v>
      </c>
      <c r="G304" s="82">
        <v>0</v>
      </c>
      <c r="H304" s="82">
        <v>0</v>
      </c>
      <c r="I304" s="73">
        <v>0</v>
      </c>
      <c r="J304" s="101"/>
      <c r="K304" s="88"/>
      <c r="L304" s="88"/>
      <c r="M304" s="88"/>
      <c r="N304" s="88"/>
      <c r="O304" s="88"/>
      <c r="P304" s="88"/>
      <c r="Q304" s="88"/>
      <c r="R304" s="88"/>
      <c r="S304" s="88"/>
      <c r="V304" s="73">
        <v>0</v>
      </c>
      <c r="W304" s="17">
        <f t="shared" si="1016"/>
        <v>0</v>
      </c>
      <c r="X304" s="110">
        <f t="shared" si="910"/>
        <v>0</v>
      </c>
      <c r="Y304" s="110">
        <f t="shared" si="911"/>
        <v>0</v>
      </c>
      <c r="Z304" s="110"/>
      <c r="AA304" s="110"/>
      <c r="AB304" s="110">
        <f t="shared" si="912"/>
        <v>0</v>
      </c>
      <c r="AC304" s="111">
        <f t="shared" si="913"/>
        <v>0</v>
      </c>
      <c r="AD304" s="110"/>
      <c r="AE304" s="110"/>
      <c r="AF304" s="110">
        <f t="shared" si="916"/>
        <v>0</v>
      </c>
      <c r="AG304" s="110">
        <f t="shared" si="917"/>
        <v>0</v>
      </c>
      <c r="AH304" s="110">
        <f t="shared" si="918"/>
        <v>0</v>
      </c>
      <c r="AI304" s="129">
        <f t="shared" si="919"/>
        <v>0</v>
      </c>
      <c r="AJ304" s="110">
        <f t="shared" si="920"/>
        <v>0</v>
      </c>
      <c r="AM304" s="110">
        <f t="shared" si="921"/>
        <v>0</v>
      </c>
      <c r="AN304" s="110">
        <f t="shared" si="922"/>
        <v>0</v>
      </c>
      <c r="AQ304" s="110">
        <f t="shared" si="923"/>
        <v>0</v>
      </c>
      <c r="AR304" s="110">
        <f t="shared" si="924"/>
        <v>0</v>
      </c>
      <c r="AU304" s="110">
        <f t="shared" si="994"/>
        <v>0</v>
      </c>
      <c r="AV304" s="110">
        <f t="shared" si="1014"/>
        <v>0</v>
      </c>
      <c r="AY304" s="110">
        <f t="shared" si="925"/>
        <v>0</v>
      </c>
      <c r="AZ304" s="110">
        <f t="shared" si="926"/>
        <v>0</v>
      </c>
      <c r="BA304" s="110">
        <f t="shared" si="927"/>
        <v>0</v>
      </c>
      <c r="BD304" s="142">
        <f t="shared" si="928"/>
        <v>0</v>
      </c>
      <c r="BE304" s="142">
        <f t="shared" si="929"/>
        <v>0</v>
      </c>
      <c r="BF304" s="142">
        <f t="shared" si="930"/>
        <v>0</v>
      </c>
      <c r="BG304" s="142">
        <f t="shared" si="931"/>
        <v>0</v>
      </c>
      <c r="BH304" s="110">
        <v>0</v>
      </c>
      <c r="BI304" s="110">
        <v>0</v>
      </c>
      <c r="BL304" s="110">
        <f t="shared" si="945"/>
        <v>0</v>
      </c>
      <c r="BM304" s="110">
        <f t="shared" si="953"/>
        <v>0</v>
      </c>
      <c r="BN304" s="110">
        <f t="shared" si="954"/>
        <v>0</v>
      </c>
      <c r="BO304" s="110">
        <v>0</v>
      </c>
      <c r="BP304" s="129"/>
      <c r="BQ304" s="110">
        <f t="shared" si="955"/>
        <v>0</v>
      </c>
      <c r="BR304" s="110">
        <f t="shared" si="956"/>
        <v>0</v>
      </c>
      <c r="BS304" s="110">
        <f t="shared" si="957"/>
        <v>0</v>
      </c>
      <c r="BT304" s="110">
        <f t="shared" si="958"/>
        <v>0</v>
      </c>
      <c r="BU304" s="110">
        <f t="shared" si="974"/>
        <v>0</v>
      </c>
      <c r="BV304" s="110">
        <f t="shared" si="1015"/>
        <v>0</v>
      </c>
      <c r="CA304" s="110">
        <f t="shared" si="959"/>
        <v>0</v>
      </c>
      <c r="CB304" s="110">
        <f t="shared" si="960"/>
        <v>0</v>
      </c>
    </row>
    <row r="305" spans="1:80" ht="18" hidden="1" x14ac:dyDescent="0.3">
      <c r="A305" s="69">
        <v>15</v>
      </c>
      <c r="B305" s="69"/>
      <c r="C305" s="74"/>
      <c r="D305" s="71" t="s">
        <v>510</v>
      </c>
      <c r="E305" s="72"/>
      <c r="F305" s="82">
        <v>0</v>
      </c>
      <c r="G305" s="82">
        <v>0</v>
      </c>
      <c r="H305" s="82">
        <v>0</v>
      </c>
      <c r="I305" s="73">
        <v>0</v>
      </c>
      <c r="J305" s="101"/>
      <c r="K305" s="88"/>
      <c r="L305" s="88"/>
      <c r="M305" s="88"/>
      <c r="N305" s="88"/>
      <c r="O305" s="88"/>
      <c r="P305" s="88"/>
      <c r="Q305" s="88"/>
      <c r="R305" s="88"/>
      <c r="S305" s="88"/>
      <c r="V305" s="73">
        <v>0</v>
      </c>
      <c r="W305" s="17">
        <f t="shared" si="1016"/>
        <v>0</v>
      </c>
      <c r="X305" s="110">
        <f t="shared" si="910"/>
        <v>0</v>
      </c>
      <c r="Y305" s="110">
        <f t="shared" si="911"/>
        <v>0</v>
      </c>
      <c r="Z305" s="110"/>
      <c r="AA305" s="110"/>
      <c r="AB305" s="110">
        <f t="shared" si="912"/>
        <v>0</v>
      </c>
      <c r="AC305" s="111">
        <f t="shared" si="913"/>
        <v>0</v>
      </c>
      <c r="AD305" s="110"/>
      <c r="AE305" s="110"/>
      <c r="AF305" s="110">
        <f t="shared" si="916"/>
        <v>0</v>
      </c>
      <c r="AG305" s="110">
        <f t="shared" si="917"/>
        <v>0</v>
      </c>
      <c r="AH305" s="110">
        <f t="shared" si="918"/>
        <v>0</v>
      </c>
      <c r="AI305" s="129">
        <f t="shared" si="919"/>
        <v>0</v>
      </c>
      <c r="AJ305" s="110">
        <f t="shared" si="920"/>
        <v>0</v>
      </c>
      <c r="AM305" s="110">
        <f t="shared" si="921"/>
        <v>0</v>
      </c>
      <c r="AN305" s="110">
        <f t="shared" si="922"/>
        <v>0</v>
      </c>
      <c r="AQ305" s="110">
        <f t="shared" si="923"/>
        <v>0</v>
      </c>
      <c r="AR305" s="110">
        <f t="shared" si="924"/>
        <v>0</v>
      </c>
      <c r="AU305" s="110">
        <f t="shared" si="994"/>
        <v>0</v>
      </c>
      <c r="AV305" s="110">
        <f t="shared" si="1014"/>
        <v>0</v>
      </c>
      <c r="AY305" s="110">
        <f t="shared" si="925"/>
        <v>0</v>
      </c>
      <c r="AZ305" s="110">
        <f t="shared" si="926"/>
        <v>0</v>
      </c>
      <c r="BA305" s="110">
        <f t="shared" si="927"/>
        <v>0</v>
      </c>
      <c r="BD305" s="142">
        <f t="shared" si="928"/>
        <v>0</v>
      </c>
      <c r="BE305" s="142">
        <f t="shared" si="929"/>
        <v>0</v>
      </c>
      <c r="BF305" s="142">
        <f t="shared" si="930"/>
        <v>0</v>
      </c>
      <c r="BG305" s="142">
        <f t="shared" si="931"/>
        <v>0</v>
      </c>
      <c r="BH305" s="110">
        <v>0</v>
      </c>
      <c r="BI305" s="110">
        <v>0</v>
      </c>
      <c r="BL305" s="110">
        <f t="shared" si="945"/>
        <v>0</v>
      </c>
      <c r="BM305" s="110">
        <f t="shared" si="953"/>
        <v>0</v>
      </c>
      <c r="BN305" s="110">
        <f t="shared" si="954"/>
        <v>0</v>
      </c>
      <c r="BO305" s="110">
        <v>0</v>
      </c>
      <c r="BP305" s="129"/>
      <c r="BQ305" s="110">
        <f t="shared" si="955"/>
        <v>0</v>
      </c>
      <c r="BR305" s="110">
        <f t="shared" si="956"/>
        <v>0</v>
      </c>
      <c r="BS305" s="110">
        <f t="shared" si="957"/>
        <v>0</v>
      </c>
      <c r="BT305" s="110">
        <f t="shared" si="958"/>
        <v>0</v>
      </c>
      <c r="BU305" s="110">
        <f t="shared" si="974"/>
        <v>0</v>
      </c>
      <c r="BV305" s="110">
        <f t="shared" si="1015"/>
        <v>0</v>
      </c>
      <c r="CA305" s="110">
        <f t="shared" si="959"/>
        <v>0</v>
      </c>
      <c r="CB305" s="110">
        <f t="shared" si="960"/>
        <v>0</v>
      </c>
    </row>
    <row r="306" spans="1:80" ht="18" hidden="1" x14ac:dyDescent="0.3">
      <c r="A306" s="69">
        <v>16</v>
      </c>
      <c r="B306" s="69"/>
      <c r="C306" s="74"/>
      <c r="D306" s="71" t="s">
        <v>511</v>
      </c>
      <c r="E306" s="72"/>
      <c r="F306" s="82">
        <v>0</v>
      </c>
      <c r="G306" s="82">
        <v>0</v>
      </c>
      <c r="H306" s="82">
        <v>0</v>
      </c>
      <c r="I306" s="73">
        <v>0</v>
      </c>
      <c r="J306" s="101"/>
      <c r="K306" s="88"/>
      <c r="L306" s="88"/>
      <c r="M306" s="88"/>
      <c r="N306" s="88"/>
      <c r="O306" s="88"/>
      <c r="P306" s="88"/>
      <c r="Q306" s="88"/>
      <c r="R306" s="88"/>
      <c r="S306" s="88"/>
      <c r="V306" s="73">
        <v>0</v>
      </c>
      <c r="W306" s="17">
        <f t="shared" si="1016"/>
        <v>0</v>
      </c>
      <c r="X306" s="110">
        <f t="shared" si="910"/>
        <v>0</v>
      </c>
      <c r="Y306" s="110">
        <f t="shared" si="911"/>
        <v>0</v>
      </c>
      <c r="Z306" s="110"/>
      <c r="AA306" s="110"/>
      <c r="AB306" s="110">
        <f t="shared" si="912"/>
        <v>0</v>
      </c>
      <c r="AC306" s="111">
        <f t="shared" si="913"/>
        <v>0</v>
      </c>
      <c r="AD306" s="110"/>
      <c r="AE306" s="110"/>
      <c r="AF306" s="110">
        <f t="shared" si="916"/>
        <v>0</v>
      </c>
      <c r="AG306" s="110">
        <f t="shared" si="917"/>
        <v>0</v>
      </c>
      <c r="AH306" s="110">
        <f t="shared" si="918"/>
        <v>0</v>
      </c>
      <c r="AI306" s="129">
        <f t="shared" si="919"/>
        <v>0</v>
      </c>
      <c r="AJ306" s="110">
        <f t="shared" si="920"/>
        <v>0</v>
      </c>
      <c r="AM306" s="110">
        <f t="shared" si="921"/>
        <v>0</v>
      </c>
      <c r="AN306" s="110">
        <f t="shared" si="922"/>
        <v>0</v>
      </c>
      <c r="AQ306" s="110">
        <f t="shared" si="923"/>
        <v>0</v>
      </c>
      <c r="AR306" s="110">
        <f t="shared" si="924"/>
        <v>0</v>
      </c>
      <c r="AU306" s="110">
        <f t="shared" si="994"/>
        <v>0</v>
      </c>
      <c r="AV306" s="110">
        <f t="shared" si="1014"/>
        <v>0</v>
      </c>
      <c r="AY306" s="110">
        <f t="shared" si="925"/>
        <v>0</v>
      </c>
      <c r="AZ306" s="110">
        <f t="shared" si="926"/>
        <v>0</v>
      </c>
      <c r="BA306" s="110">
        <f t="shared" si="927"/>
        <v>0</v>
      </c>
      <c r="BD306" s="142">
        <f t="shared" si="928"/>
        <v>0</v>
      </c>
      <c r="BE306" s="142">
        <f t="shared" si="929"/>
        <v>0</v>
      </c>
      <c r="BF306" s="142">
        <f t="shared" si="930"/>
        <v>0</v>
      </c>
      <c r="BG306" s="142">
        <f t="shared" si="931"/>
        <v>0</v>
      </c>
      <c r="BH306" s="110">
        <v>0</v>
      </c>
      <c r="BI306" s="110">
        <v>0</v>
      </c>
      <c r="BL306" s="110">
        <f t="shared" si="945"/>
        <v>0</v>
      </c>
      <c r="BM306" s="110">
        <f t="shared" si="953"/>
        <v>0</v>
      </c>
      <c r="BN306" s="110">
        <f t="shared" si="954"/>
        <v>0</v>
      </c>
      <c r="BO306" s="110">
        <v>0</v>
      </c>
      <c r="BP306" s="129"/>
      <c r="BQ306" s="110">
        <f t="shared" si="955"/>
        <v>0</v>
      </c>
      <c r="BR306" s="110">
        <f t="shared" si="956"/>
        <v>0</v>
      </c>
      <c r="BS306" s="110">
        <f t="shared" si="957"/>
        <v>0</v>
      </c>
      <c r="BT306" s="110">
        <f t="shared" si="958"/>
        <v>0</v>
      </c>
      <c r="BU306" s="110">
        <f t="shared" si="974"/>
        <v>0</v>
      </c>
      <c r="BV306" s="110">
        <f t="shared" si="1015"/>
        <v>0</v>
      </c>
      <c r="CA306" s="110">
        <f t="shared" si="959"/>
        <v>0</v>
      </c>
      <c r="CB306" s="110">
        <f t="shared" si="960"/>
        <v>0</v>
      </c>
    </row>
    <row r="307" spans="1:80" ht="18" hidden="1" x14ac:dyDescent="0.3">
      <c r="A307" s="69">
        <v>17</v>
      </c>
      <c r="B307" s="69"/>
      <c r="C307" s="74"/>
      <c r="D307" s="71" t="s">
        <v>512</v>
      </c>
      <c r="E307" s="72"/>
      <c r="F307" s="82">
        <v>0</v>
      </c>
      <c r="G307" s="82">
        <v>0</v>
      </c>
      <c r="H307" s="82">
        <v>0</v>
      </c>
      <c r="I307" s="73">
        <v>0</v>
      </c>
      <c r="J307" s="101"/>
      <c r="K307" s="88"/>
      <c r="L307" s="88"/>
      <c r="M307" s="88"/>
      <c r="N307" s="88"/>
      <c r="O307" s="88"/>
      <c r="P307" s="88"/>
      <c r="Q307" s="88"/>
      <c r="R307" s="88"/>
      <c r="S307" s="88"/>
      <c r="V307" s="73">
        <v>0</v>
      </c>
      <c r="W307" s="17">
        <f t="shared" si="1016"/>
        <v>0</v>
      </c>
      <c r="X307" s="110">
        <f t="shared" si="910"/>
        <v>0</v>
      </c>
      <c r="Y307" s="110">
        <f t="shared" si="911"/>
        <v>0</v>
      </c>
      <c r="Z307" s="110"/>
      <c r="AA307" s="110"/>
      <c r="AB307" s="110">
        <f t="shared" si="912"/>
        <v>0</v>
      </c>
      <c r="AC307" s="111">
        <f t="shared" si="913"/>
        <v>0</v>
      </c>
      <c r="AD307" s="110"/>
      <c r="AE307" s="110"/>
      <c r="AF307" s="110">
        <f t="shared" si="916"/>
        <v>0</v>
      </c>
      <c r="AG307" s="110">
        <f t="shared" si="917"/>
        <v>0</v>
      </c>
      <c r="AH307" s="110">
        <f t="shared" si="918"/>
        <v>0</v>
      </c>
      <c r="AI307" s="129">
        <f t="shared" si="919"/>
        <v>0</v>
      </c>
      <c r="AJ307" s="110">
        <f t="shared" si="920"/>
        <v>0</v>
      </c>
      <c r="AM307" s="110">
        <f t="shared" si="921"/>
        <v>0</v>
      </c>
      <c r="AN307" s="110">
        <f t="shared" si="922"/>
        <v>0</v>
      </c>
      <c r="AQ307" s="110">
        <f t="shared" si="923"/>
        <v>0</v>
      </c>
      <c r="AR307" s="110">
        <f t="shared" si="924"/>
        <v>0</v>
      </c>
      <c r="AU307" s="110">
        <f t="shared" si="994"/>
        <v>0</v>
      </c>
      <c r="AV307" s="110">
        <f t="shared" si="1014"/>
        <v>0</v>
      </c>
      <c r="AY307" s="110">
        <f t="shared" si="925"/>
        <v>0</v>
      </c>
      <c r="AZ307" s="110">
        <f t="shared" si="926"/>
        <v>0</v>
      </c>
      <c r="BA307" s="110">
        <f t="shared" si="927"/>
        <v>0</v>
      </c>
      <c r="BD307" s="142">
        <f t="shared" si="928"/>
        <v>0</v>
      </c>
      <c r="BE307" s="142">
        <f t="shared" si="929"/>
        <v>0</v>
      </c>
      <c r="BF307" s="142">
        <f t="shared" si="930"/>
        <v>0</v>
      </c>
      <c r="BG307" s="142">
        <f t="shared" si="931"/>
        <v>0</v>
      </c>
      <c r="BH307" s="110">
        <v>0</v>
      </c>
      <c r="BI307" s="110">
        <v>0</v>
      </c>
      <c r="BL307" s="110">
        <f t="shared" ref="BL307:BL309" si="1017">+BH307+AY307+BJ307</f>
        <v>0</v>
      </c>
      <c r="BM307" s="110">
        <f t="shared" si="953"/>
        <v>0</v>
      </c>
      <c r="BN307" s="110">
        <f t="shared" si="954"/>
        <v>0</v>
      </c>
      <c r="BO307" s="110">
        <v>0</v>
      </c>
      <c r="BP307" s="129"/>
      <c r="BQ307" s="110">
        <f t="shared" si="955"/>
        <v>0</v>
      </c>
      <c r="BR307" s="110">
        <f t="shared" si="956"/>
        <v>0</v>
      </c>
      <c r="BS307" s="110">
        <f t="shared" si="957"/>
        <v>0</v>
      </c>
      <c r="BT307" s="110">
        <f t="shared" si="958"/>
        <v>0</v>
      </c>
      <c r="BU307" s="110">
        <f t="shared" si="974"/>
        <v>0</v>
      </c>
      <c r="BV307" s="110">
        <f t="shared" si="1015"/>
        <v>0</v>
      </c>
      <c r="CA307" s="110">
        <f t="shared" si="959"/>
        <v>0</v>
      </c>
      <c r="CB307" s="110">
        <f t="shared" si="960"/>
        <v>0</v>
      </c>
    </row>
    <row r="308" spans="1:80" ht="36" x14ac:dyDescent="0.3">
      <c r="A308" s="46"/>
      <c r="B308" s="46"/>
      <c r="C308" s="47"/>
      <c r="D308" s="48" t="s">
        <v>513</v>
      </c>
      <c r="E308" s="49" t="s">
        <v>514</v>
      </c>
      <c r="F308" s="50">
        <f t="shared" ref="F308:AA308" si="1018">+F307+F306+F305+F304+F303+F302+F301+F300+F299+F298+F297+F296+F295+F294+F291+F292+F293</f>
        <v>92622.010000000009</v>
      </c>
      <c r="G308" s="50">
        <f t="shared" si="1018"/>
        <v>211.61999999999998</v>
      </c>
      <c r="H308" s="50">
        <f t="shared" si="1018"/>
        <v>95608.889999999985</v>
      </c>
      <c r="I308" s="50">
        <f t="shared" si="1018"/>
        <v>210.49999999999997</v>
      </c>
      <c r="J308" s="50">
        <f t="shared" si="1018"/>
        <v>81071.64</v>
      </c>
      <c r="K308" s="50">
        <f t="shared" si="1018"/>
        <v>0</v>
      </c>
      <c r="L308" s="50">
        <f t="shared" si="1018"/>
        <v>0</v>
      </c>
      <c r="M308" s="50">
        <f t="shared" si="1018"/>
        <v>81071.64</v>
      </c>
      <c r="N308" s="50">
        <f t="shared" si="1018"/>
        <v>13145.543</v>
      </c>
      <c r="O308" s="50">
        <f t="shared" si="1018"/>
        <v>0</v>
      </c>
      <c r="P308" s="50">
        <f t="shared" si="1018"/>
        <v>0</v>
      </c>
      <c r="Q308" s="50">
        <f t="shared" si="1018"/>
        <v>13145.543</v>
      </c>
      <c r="R308" s="50">
        <f t="shared" si="1018"/>
        <v>94217.18299999999</v>
      </c>
      <c r="S308" s="50">
        <f t="shared" si="1018"/>
        <v>181</v>
      </c>
      <c r="T308" s="50">
        <f t="shared" si="1018"/>
        <v>0</v>
      </c>
      <c r="U308" s="50">
        <f t="shared" si="1018"/>
        <v>0</v>
      </c>
      <c r="V308" s="50">
        <f t="shared" si="1018"/>
        <v>101182.9</v>
      </c>
      <c r="W308" s="50">
        <f t="shared" si="1018"/>
        <v>217.37</v>
      </c>
      <c r="X308" s="50">
        <f t="shared" si="1018"/>
        <v>-6965.7169999999978</v>
      </c>
      <c r="Y308" s="50">
        <f t="shared" si="1018"/>
        <v>-36.369999999999983</v>
      </c>
      <c r="Z308" s="50">
        <f t="shared" si="1018"/>
        <v>80660.58</v>
      </c>
      <c r="AA308" s="50">
        <f t="shared" si="1018"/>
        <v>12620.189999999999</v>
      </c>
      <c r="AB308" s="50">
        <f t="shared" si="912"/>
        <v>93280.77</v>
      </c>
      <c r="AC308" s="111">
        <f t="shared" si="913"/>
        <v>0</v>
      </c>
      <c r="AD308" s="50">
        <f t="shared" ref="AD308:CB308" si="1019">+AD307+AD306+AD305+AD304+AD303+AD302+AD301+AD300+AD299+AD298+AD297+AD296+AD295+AD294+AD291+AD292+AD293</f>
        <v>93280.77</v>
      </c>
      <c r="AE308" s="50">
        <f t="shared" si="1019"/>
        <v>103.05</v>
      </c>
      <c r="AF308" s="50">
        <f t="shared" si="1019"/>
        <v>163.30000000000001</v>
      </c>
      <c r="AG308" s="50">
        <f t="shared" si="1019"/>
        <v>23320</v>
      </c>
      <c r="AH308" s="50">
        <f t="shared" si="1019"/>
        <v>24</v>
      </c>
      <c r="AI308" s="50">
        <f t="shared" si="1019"/>
        <v>7772</v>
      </c>
      <c r="AJ308" s="50">
        <f t="shared" si="1019"/>
        <v>8</v>
      </c>
      <c r="AK308" s="50">
        <f t="shared" si="1019"/>
        <v>0</v>
      </c>
      <c r="AL308" s="50">
        <f t="shared" si="1019"/>
        <v>0</v>
      </c>
      <c r="AM308" s="50">
        <f t="shared" si="1019"/>
        <v>23320.21</v>
      </c>
      <c r="AN308" s="50">
        <f t="shared" si="1019"/>
        <v>26.63</v>
      </c>
      <c r="AO308" s="50">
        <f t="shared" si="1019"/>
        <v>0</v>
      </c>
      <c r="AP308" s="50">
        <f t="shared" si="1019"/>
        <v>0</v>
      </c>
      <c r="AQ308" s="50">
        <f t="shared" si="1019"/>
        <v>46640.21</v>
      </c>
      <c r="AR308" s="50">
        <f t="shared" si="1019"/>
        <v>50.63</v>
      </c>
      <c r="AS308" s="50">
        <f t="shared" si="1019"/>
        <v>0</v>
      </c>
      <c r="AT308" s="50">
        <f t="shared" si="1019"/>
        <v>0</v>
      </c>
      <c r="AU308" s="50">
        <f t="shared" si="1019"/>
        <v>23320.21</v>
      </c>
      <c r="AV308" s="50">
        <f t="shared" si="1019"/>
        <v>24.259999999999998</v>
      </c>
      <c r="AW308" s="50">
        <f t="shared" si="1019"/>
        <v>28.6</v>
      </c>
      <c r="AX308" s="50">
        <f t="shared" si="1019"/>
        <v>50</v>
      </c>
      <c r="AY308" s="50">
        <f t="shared" si="1019"/>
        <v>77761.02</v>
      </c>
      <c r="AZ308" s="50">
        <f t="shared" si="1019"/>
        <v>132.88999999999999</v>
      </c>
      <c r="BA308" s="50">
        <f t="shared" si="1019"/>
        <v>77893.91</v>
      </c>
      <c r="BB308" s="50">
        <f t="shared" si="1019"/>
        <v>73459.63</v>
      </c>
      <c r="BC308" s="50">
        <f t="shared" si="1019"/>
        <v>132.12</v>
      </c>
      <c r="BD308" s="50">
        <f t="shared" si="1019"/>
        <v>4301.3900000000021</v>
      </c>
      <c r="BE308" s="50">
        <f t="shared" si="1019"/>
        <v>0.77000000000000424</v>
      </c>
      <c r="BF308" s="50">
        <f t="shared" si="1019"/>
        <v>14691.93</v>
      </c>
      <c r="BG308" s="50">
        <f t="shared" si="1019"/>
        <v>26.43</v>
      </c>
      <c r="BH308" s="50">
        <f t="shared" si="1019"/>
        <v>5448.29</v>
      </c>
      <c r="BI308" s="50">
        <f t="shared" si="1019"/>
        <v>29.82</v>
      </c>
      <c r="BJ308" s="50">
        <f t="shared" si="1019"/>
        <v>22177.54</v>
      </c>
      <c r="BK308" s="50">
        <f t="shared" si="1019"/>
        <v>6.69</v>
      </c>
      <c r="BL308" s="50">
        <f t="shared" si="1019"/>
        <v>105386.85000000002</v>
      </c>
      <c r="BM308" s="50">
        <f t="shared" si="1019"/>
        <v>169.4</v>
      </c>
      <c r="BN308" s="50">
        <f t="shared" si="1019"/>
        <v>105556.25000000003</v>
      </c>
      <c r="BO308" s="50">
        <f t="shared" si="1019"/>
        <v>97786.900000000009</v>
      </c>
      <c r="BP308" s="133">
        <f t="shared" si="1019"/>
        <v>108.88</v>
      </c>
      <c r="BQ308" s="50">
        <f t="shared" si="1019"/>
        <v>7599.9500000000016</v>
      </c>
      <c r="BR308" s="50">
        <f t="shared" si="1019"/>
        <v>60.52</v>
      </c>
      <c r="BS308" s="50">
        <f t="shared" si="1019"/>
        <v>8889.7300000000014</v>
      </c>
      <c r="BT308" s="50">
        <f t="shared" si="1019"/>
        <v>9.9</v>
      </c>
      <c r="BU308" s="50">
        <f t="shared" si="1019"/>
        <v>3687.8599999999997</v>
      </c>
      <c r="BV308" s="50">
        <f t="shared" si="1019"/>
        <v>7.89</v>
      </c>
      <c r="BW308" s="50">
        <f t="shared" si="1019"/>
        <v>7868.27</v>
      </c>
      <c r="BX308" s="50">
        <f t="shared" si="1019"/>
        <v>8.76</v>
      </c>
      <c r="BY308" s="50">
        <f t="shared" si="1019"/>
        <v>3.14</v>
      </c>
      <c r="BZ308" s="50">
        <f t="shared" si="1019"/>
        <v>0</v>
      </c>
      <c r="CA308" s="50">
        <f t="shared" si="1019"/>
        <v>116942.98</v>
      </c>
      <c r="CB308" s="50">
        <f t="shared" si="1019"/>
        <v>182.91</v>
      </c>
    </row>
    <row r="309" spans="1:80" ht="36" x14ac:dyDescent="0.3">
      <c r="A309" s="18"/>
      <c r="B309" s="18" t="s">
        <v>515</v>
      </c>
      <c r="C309" s="19" t="s">
        <v>40</v>
      </c>
      <c r="D309" s="20" t="s">
        <v>516</v>
      </c>
      <c r="E309" s="21" t="s">
        <v>517</v>
      </c>
      <c r="F309" s="82">
        <v>0</v>
      </c>
      <c r="G309" s="82">
        <v>0</v>
      </c>
      <c r="H309" s="82"/>
      <c r="I309" s="22"/>
      <c r="J309" s="89"/>
      <c r="K309" s="88"/>
      <c r="L309" s="88"/>
      <c r="M309" s="88"/>
      <c r="N309" s="88"/>
      <c r="O309" s="88"/>
      <c r="P309" s="88"/>
      <c r="Q309" s="88"/>
      <c r="R309" s="88"/>
      <c r="S309" s="88"/>
      <c r="V309" s="22">
        <v>0</v>
      </c>
      <c r="W309" s="17">
        <f t="shared" ref="W309" si="1020">+U309+V309</f>
        <v>0</v>
      </c>
      <c r="X309" s="110">
        <f t="shared" si="910"/>
        <v>0</v>
      </c>
      <c r="Y309" s="110">
        <f t="shared" si="911"/>
        <v>0</v>
      </c>
      <c r="Z309" s="110"/>
      <c r="AA309" s="110"/>
      <c r="AB309" s="110">
        <f t="shared" si="912"/>
        <v>0</v>
      </c>
      <c r="AC309" s="111">
        <f t="shared" si="913"/>
        <v>0</v>
      </c>
      <c r="AD309" s="110"/>
      <c r="AE309" s="110"/>
      <c r="AF309" s="110">
        <f t="shared" si="916"/>
        <v>0</v>
      </c>
      <c r="AG309" s="110">
        <f t="shared" si="917"/>
        <v>0</v>
      </c>
      <c r="AH309" s="110">
        <f t="shared" si="918"/>
        <v>0</v>
      </c>
      <c r="AI309" s="129">
        <f t="shared" si="919"/>
        <v>0</v>
      </c>
      <c r="AJ309" s="110">
        <f t="shared" si="920"/>
        <v>0</v>
      </c>
      <c r="AM309" s="110">
        <f t="shared" si="921"/>
        <v>0</v>
      </c>
      <c r="AN309" s="110">
        <f t="shared" si="922"/>
        <v>0</v>
      </c>
      <c r="AQ309" s="110">
        <f t="shared" si="923"/>
        <v>0</v>
      </c>
      <c r="AR309" s="110">
        <f t="shared" si="924"/>
        <v>0</v>
      </c>
      <c r="AU309" s="110">
        <f t="shared" si="994"/>
        <v>0</v>
      </c>
      <c r="AV309" s="110">
        <f t="shared" ref="AV309" si="1021">ROUND(AE309*30.5%,2)</f>
        <v>0</v>
      </c>
      <c r="AY309" s="110">
        <f t="shared" si="925"/>
        <v>0</v>
      </c>
      <c r="AZ309" s="110">
        <f t="shared" si="926"/>
        <v>0</v>
      </c>
      <c r="BA309" s="110">
        <f t="shared" si="927"/>
        <v>0</v>
      </c>
      <c r="BD309" s="142">
        <f t="shared" si="928"/>
        <v>0</v>
      </c>
      <c r="BE309" s="142">
        <f t="shared" si="929"/>
        <v>0</v>
      </c>
      <c r="BF309" s="142">
        <f t="shared" si="930"/>
        <v>0</v>
      </c>
      <c r="BG309" s="142">
        <f t="shared" si="931"/>
        <v>0</v>
      </c>
      <c r="BH309" s="110">
        <v>0</v>
      </c>
      <c r="BI309" s="110">
        <v>0</v>
      </c>
      <c r="BL309" s="110">
        <f t="shared" si="1017"/>
        <v>0</v>
      </c>
      <c r="BM309" s="110">
        <f t="shared" si="953"/>
        <v>0</v>
      </c>
      <c r="BN309" s="110">
        <f t="shared" si="954"/>
        <v>0</v>
      </c>
      <c r="BP309" s="129"/>
      <c r="BQ309" s="110">
        <f t="shared" si="955"/>
        <v>0</v>
      </c>
      <c r="BR309" s="110">
        <f t="shared" si="956"/>
        <v>0</v>
      </c>
      <c r="BS309" s="110">
        <f t="shared" si="957"/>
        <v>0</v>
      </c>
      <c r="BT309" s="110">
        <f t="shared" si="958"/>
        <v>0</v>
      </c>
      <c r="BU309" s="110">
        <f t="shared" si="974"/>
        <v>0</v>
      </c>
      <c r="BV309" s="110">
        <f t="shared" si="1015"/>
        <v>0</v>
      </c>
      <c r="CA309" s="110">
        <f t="shared" si="959"/>
        <v>0</v>
      </c>
      <c r="CB309" s="110">
        <f t="shared" si="960"/>
        <v>0</v>
      </c>
    </row>
    <row r="310" spans="1:80" ht="20.399999999999999" customHeight="1" x14ac:dyDescent="0.3">
      <c r="A310" s="46"/>
      <c r="B310" s="46"/>
      <c r="C310" s="47"/>
      <c r="D310" s="48" t="s">
        <v>518</v>
      </c>
      <c r="E310" s="49"/>
      <c r="F310" s="66">
        <f t="shared" ref="F310:AA310" si="1022">+F309+F308+F290+F288+F271+F265+F262+F240+F223+F225+F185+F135+F89</f>
        <v>352311.57</v>
      </c>
      <c r="G310" s="66">
        <f t="shared" si="1022"/>
        <v>122515.5</v>
      </c>
      <c r="H310" s="66">
        <f t="shared" si="1022"/>
        <v>357393.36</v>
      </c>
      <c r="I310" s="66">
        <f t="shared" si="1022"/>
        <v>123459.09999999999</v>
      </c>
      <c r="J310" s="99" t="e">
        <f t="shared" si="1022"/>
        <v>#REF!</v>
      </c>
      <c r="K310" s="99" t="e">
        <f t="shared" si="1022"/>
        <v>#REF!</v>
      </c>
      <c r="L310" s="99" t="e">
        <f t="shared" si="1022"/>
        <v>#REF!</v>
      </c>
      <c r="M310" s="99" t="e">
        <f t="shared" si="1022"/>
        <v>#REF!</v>
      </c>
      <c r="N310" s="99" t="e">
        <f t="shared" si="1022"/>
        <v>#REF!</v>
      </c>
      <c r="O310" s="99" t="e">
        <f t="shared" si="1022"/>
        <v>#REF!</v>
      </c>
      <c r="P310" s="99" t="e">
        <f t="shared" si="1022"/>
        <v>#REF!</v>
      </c>
      <c r="Q310" s="99" t="e">
        <f t="shared" si="1022"/>
        <v>#REF!</v>
      </c>
      <c r="R310" s="99" t="e">
        <f t="shared" si="1022"/>
        <v>#REF!</v>
      </c>
      <c r="S310" s="99" t="e">
        <f t="shared" si="1022"/>
        <v>#REF!</v>
      </c>
      <c r="T310" s="99" t="e">
        <f t="shared" si="1022"/>
        <v>#REF!</v>
      </c>
      <c r="U310" s="99" t="e">
        <f t="shared" si="1022"/>
        <v>#REF!</v>
      </c>
      <c r="V310" s="99" t="e">
        <f t="shared" si="1022"/>
        <v>#REF!</v>
      </c>
      <c r="W310" s="99" t="e">
        <f t="shared" si="1022"/>
        <v>#REF!</v>
      </c>
      <c r="X310" s="99" t="e">
        <f t="shared" si="1022"/>
        <v>#REF!</v>
      </c>
      <c r="Y310" s="99" t="e">
        <f t="shared" si="1022"/>
        <v>#REF!</v>
      </c>
      <c r="Z310" s="99" t="e">
        <f t="shared" si="1022"/>
        <v>#REF!</v>
      </c>
      <c r="AA310" s="99" t="e">
        <f t="shared" si="1022"/>
        <v>#REF!</v>
      </c>
      <c r="AB310" s="66" t="e">
        <f t="shared" si="912"/>
        <v>#REF!</v>
      </c>
      <c r="AC310" s="111" t="e">
        <f t="shared" si="913"/>
        <v>#REF!</v>
      </c>
      <c r="AD310" s="66">
        <f t="shared" ref="AD310:CB310" si="1023">+AD309+AD308+AD290+AD288+AD271+AD265+AD262+AD240+AD223+AD225+AD185+AD135+AD89</f>
        <v>369772.68000000005</v>
      </c>
      <c r="AE310" s="66">
        <f t="shared" si="1023"/>
        <v>126302.93</v>
      </c>
      <c r="AF310" s="66">
        <f t="shared" si="1023"/>
        <v>126790.1</v>
      </c>
      <c r="AG310" s="66">
        <f t="shared" si="1023"/>
        <v>92220</v>
      </c>
      <c r="AH310" s="66">
        <f t="shared" si="1023"/>
        <v>31505</v>
      </c>
      <c r="AI310" s="66">
        <f t="shared" si="1023"/>
        <v>30738</v>
      </c>
      <c r="AJ310" s="66">
        <f t="shared" si="1023"/>
        <v>10498</v>
      </c>
      <c r="AK310" s="66">
        <f t="shared" si="1023"/>
        <v>406.85</v>
      </c>
      <c r="AL310" s="66">
        <f t="shared" si="1023"/>
        <v>1554.6</v>
      </c>
      <c r="AM310" s="66">
        <f t="shared" si="1023"/>
        <v>92389.25</v>
      </c>
      <c r="AN310" s="66">
        <f t="shared" si="1023"/>
        <v>30710.399999999998</v>
      </c>
      <c r="AO310" s="66">
        <f t="shared" si="1023"/>
        <v>46.65</v>
      </c>
      <c r="AP310" s="66">
        <f t="shared" si="1023"/>
        <v>54.989999999999995</v>
      </c>
      <c r="AQ310" s="66">
        <f t="shared" si="1023"/>
        <v>185062.75000000003</v>
      </c>
      <c r="AR310" s="66">
        <f t="shared" si="1023"/>
        <v>63824.990000000005</v>
      </c>
      <c r="AS310" s="66">
        <f t="shared" si="1023"/>
        <v>699.64</v>
      </c>
      <c r="AT310" s="66">
        <f t="shared" si="1023"/>
        <v>432</v>
      </c>
      <c r="AU310" s="66">
        <f t="shared" si="1023"/>
        <v>92231.890000000014</v>
      </c>
      <c r="AV310" s="66">
        <f t="shared" si="1023"/>
        <v>34024.450000000004</v>
      </c>
      <c r="AW310" s="66">
        <f t="shared" si="1023"/>
        <v>1369.22</v>
      </c>
      <c r="AX310" s="66">
        <f t="shared" si="1023"/>
        <v>5602.25</v>
      </c>
      <c r="AY310" s="66">
        <f t="shared" si="1023"/>
        <v>310101.5</v>
      </c>
      <c r="AZ310" s="66">
        <f t="shared" si="1023"/>
        <v>114381.69</v>
      </c>
      <c r="BA310" s="66">
        <f t="shared" si="1023"/>
        <v>424483.19000000006</v>
      </c>
      <c r="BB310" s="66">
        <f t="shared" si="1023"/>
        <v>294877.33</v>
      </c>
      <c r="BC310" s="66">
        <f t="shared" si="1023"/>
        <v>111869.38999999998</v>
      </c>
      <c r="BD310" s="66">
        <f t="shared" si="1023"/>
        <v>15224.170000000002</v>
      </c>
      <c r="BE310" s="66">
        <f t="shared" si="1023"/>
        <v>2512.300000000002</v>
      </c>
      <c r="BF310" s="66">
        <f t="shared" si="1023"/>
        <v>58975.46</v>
      </c>
      <c r="BG310" s="66">
        <f t="shared" si="1023"/>
        <v>22373.910000000003</v>
      </c>
      <c r="BH310" s="66">
        <f t="shared" si="1023"/>
        <v>23193.55</v>
      </c>
      <c r="BI310" s="66">
        <f t="shared" si="1023"/>
        <v>9804.75</v>
      </c>
      <c r="BJ310" s="66">
        <f t="shared" si="1023"/>
        <v>23000.13</v>
      </c>
      <c r="BK310" s="66">
        <f t="shared" si="1023"/>
        <v>1046.3399999999999</v>
      </c>
      <c r="BL310" s="66">
        <f t="shared" si="1023"/>
        <v>356295.18</v>
      </c>
      <c r="BM310" s="66">
        <f t="shared" si="1023"/>
        <v>125232.77999999998</v>
      </c>
      <c r="BN310" s="66">
        <f t="shared" si="1023"/>
        <v>485235.48000000004</v>
      </c>
      <c r="BO310" s="66">
        <f t="shared" si="1023"/>
        <v>340022.06000000006</v>
      </c>
      <c r="BP310" s="132">
        <f t="shared" si="1023"/>
        <v>123811.61999999998</v>
      </c>
      <c r="BQ310" s="66">
        <f t="shared" si="1023"/>
        <v>16273.120000000003</v>
      </c>
      <c r="BR310" s="66">
        <f t="shared" si="1023"/>
        <v>1421.1600000000003</v>
      </c>
      <c r="BS310" s="66">
        <f t="shared" si="1023"/>
        <v>30911.149999999998</v>
      </c>
      <c r="BT310" s="66">
        <f t="shared" si="1023"/>
        <v>11255.619999999999</v>
      </c>
      <c r="BU310" s="66">
        <f t="shared" si="1023"/>
        <v>18802.5</v>
      </c>
      <c r="BV310" s="66">
        <f t="shared" si="1023"/>
        <v>9634.2199999999993</v>
      </c>
      <c r="BW310" s="66">
        <f t="shared" si="1023"/>
        <v>19699.320000000003</v>
      </c>
      <c r="BX310" s="66">
        <f t="shared" si="1023"/>
        <v>3600</v>
      </c>
      <c r="BY310" s="66">
        <f t="shared" si="1023"/>
        <v>480.96</v>
      </c>
      <c r="BZ310" s="66">
        <f t="shared" si="1023"/>
        <v>799.23</v>
      </c>
      <c r="CA310" s="66">
        <f t="shared" si="1023"/>
        <v>394797</v>
      </c>
      <c r="CB310" s="66">
        <f t="shared" si="1023"/>
        <v>138785.27000000002</v>
      </c>
    </row>
    <row r="311" spans="1:80" x14ac:dyDescent="0.3">
      <c r="J311" s="79"/>
      <c r="BE311" s="142">
        <v>234700</v>
      </c>
    </row>
    <row r="312" spans="1:80" x14ac:dyDescent="0.3">
      <c r="J312" s="79"/>
    </row>
    <row r="313" spans="1:80" x14ac:dyDescent="0.3">
      <c r="J313" s="79"/>
    </row>
    <row r="314" spans="1:80" x14ac:dyDescent="0.3">
      <c r="J314" s="79"/>
    </row>
    <row r="315" spans="1:80" x14ac:dyDescent="0.3">
      <c r="J315" s="79"/>
    </row>
    <row r="316" spans="1:80" x14ac:dyDescent="0.3">
      <c r="J316" s="79"/>
    </row>
    <row r="319" spans="1:80" hidden="1" x14ac:dyDescent="0.3"/>
    <row r="320" spans="1:80" hidden="1" x14ac:dyDescent="0.3"/>
    <row r="321" spans="36:37" hidden="1" x14ac:dyDescent="0.3">
      <c r="AJ321" s="110">
        <v>31875</v>
      </c>
    </row>
    <row r="322" spans="36:37" hidden="1" x14ac:dyDescent="0.3">
      <c r="AJ322" s="110">
        <f>795.52+30.15+358.93</f>
        <v>1184.5999999999999</v>
      </c>
    </row>
    <row r="323" spans="36:37" hidden="1" x14ac:dyDescent="0.3">
      <c r="AJ323" s="110">
        <f>+AJ321-AJ322</f>
        <v>30690.400000000001</v>
      </c>
      <c r="AK323" s="110">
        <f>+AJ323-AN310</f>
        <v>-19.999999999996362</v>
      </c>
    </row>
    <row r="324" spans="36:37" hidden="1" x14ac:dyDescent="0.3">
      <c r="AJ324" s="110">
        <f>AJ323/127500</f>
        <v>0.24070901960784316</v>
      </c>
    </row>
    <row r="325" spans="36:37" hidden="1" x14ac:dyDescent="0.3">
      <c r="AJ325" s="110">
        <f>127500*24.35%</f>
        <v>31046.250000000004</v>
      </c>
    </row>
    <row r="326" spans="36:37" hidden="1" x14ac:dyDescent="0.3">
      <c r="AJ326" s="110">
        <f>+AJ323-AJ325</f>
        <v>-355.85000000000218</v>
      </c>
    </row>
    <row r="327" spans="36:37" hidden="1" x14ac:dyDescent="0.3"/>
    <row r="328" spans="36:37" hidden="1" x14ac:dyDescent="0.3"/>
    <row r="329" spans="36:37" hidden="1" x14ac:dyDescent="0.3"/>
    <row r="330" spans="36:37" hidden="1" x14ac:dyDescent="0.3"/>
    <row r="331" spans="36:37" hidden="1" x14ac:dyDescent="0.3"/>
    <row r="332" spans="36:37" hidden="1" x14ac:dyDescent="0.3"/>
    <row r="333" spans="36:37" hidden="1" x14ac:dyDescent="0.3"/>
    <row r="334" spans="36:37" hidden="1" x14ac:dyDescent="0.3"/>
    <row r="335" spans="36:37" hidden="1" x14ac:dyDescent="0.3"/>
    <row r="336" spans="36:37" hidden="1" x14ac:dyDescent="0.3"/>
    <row r="337" hidden="1" x14ac:dyDescent="0.3"/>
  </sheetData>
  <sheetProtection algorithmName="SHA-512" hashValue="colFoUse+E4v+u/kjyK+sRJD1XTSNYG+9u7lw+JuQr0DaH6h2RCR/GR3IIqS9GLfWkgvkxLg3tphdpiYT9AnVg==" saltValue="vZqtOSaw1c/fkdyMx5Gb+A==" spinCount="100000" sheet="1" objects="1" scenarios="1"/>
  <mergeCells count="22">
    <mergeCell ref="BL3:BN3"/>
    <mergeCell ref="BU3:BV3"/>
    <mergeCell ref="CA3:CB3"/>
    <mergeCell ref="BH3:BI3"/>
    <mergeCell ref="AY3:BA3"/>
    <mergeCell ref="BW3:BX3"/>
    <mergeCell ref="AQ3:AR3"/>
    <mergeCell ref="AW3:AX3"/>
    <mergeCell ref="AU3:AV3"/>
    <mergeCell ref="AK3:AL3"/>
    <mergeCell ref="AG3:AH3"/>
    <mergeCell ref="AI3:AJ3"/>
    <mergeCell ref="AS3:AT3"/>
    <mergeCell ref="F2:G2"/>
    <mergeCell ref="AD3:AE3"/>
    <mergeCell ref="V3:W3"/>
    <mergeCell ref="X3:Y3"/>
    <mergeCell ref="J3:M3"/>
    <mergeCell ref="N3:Q3"/>
    <mergeCell ref="J2:S2"/>
    <mergeCell ref="R3:S3"/>
    <mergeCell ref="Z3:AB3"/>
  </mergeCells>
  <conditionalFormatting sqref="M8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CB290">
    <cfRule type="cellIs" dxfId="0" priority="5" operator="lessThan">
      <formula>0</formula>
    </cfRule>
  </conditionalFormatting>
  <pageMargins left="0.7" right="0.7" top="0.75" bottom="0.75" header="0.3" footer="0.3"/>
  <pageSetup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2022-04-07T06:22:39Z</dcterms:modified>
</cp:coreProperties>
</file>